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05" windowWidth="20115" windowHeight="7635" activeTab="0"/>
  </bookViews>
  <sheets>
    <sheet name="Quarterly Performance" sheetId="1" r:id="rId1"/>
    <sheet name="Annual Performance" sheetId="2" r:id="rId2"/>
    <sheet name="Notes" sheetId="3" r:id="rId3"/>
    <sheet name="Legal Disclaimer" sheetId="4" r:id="rId4"/>
  </sheets>
  <definedNames>
    <definedName name="_xlfn.COMPOUNDVALUE" hidden="1">#NAME?</definedName>
    <definedName name="_xlnm.Print_Area" localSheetId="2">'Notes'!$A$1:$AA$75</definedName>
    <definedName name="_xlnm.Print_Area" localSheetId="0">'Quarterly Performance'!$A$1:$X$189</definedName>
    <definedName name="Year_From">'Quarterly Performance'!$B$4</definedName>
  </definedNames>
  <calcPr fullCalcOnLoad="1"/>
</workbook>
</file>

<file path=xl/sharedStrings.xml><?xml version="1.0" encoding="utf-8"?>
<sst xmlns="http://schemas.openxmlformats.org/spreadsheetml/2006/main" count="410" uniqueCount="238">
  <si>
    <t>KEY MARKET INDICATORS</t>
  </si>
  <si>
    <t>Subscriptions as at the end of period</t>
  </si>
  <si>
    <t xml:space="preserve">   Go Mobile</t>
  </si>
  <si>
    <t xml:space="preserve">   Melita Mobile</t>
  </si>
  <si>
    <t xml:space="preserve">   Vodafone Mobile</t>
  </si>
  <si>
    <t xml:space="preserve">   Redtouch Fone</t>
  </si>
  <si>
    <t xml:space="preserve">   Ping Mobile</t>
  </si>
  <si>
    <t xml:space="preserve">   VFC Mobile</t>
  </si>
  <si>
    <t>[Pre-Paid]</t>
  </si>
  <si>
    <t>[Go plc]</t>
  </si>
  <si>
    <t>[Melita plc]</t>
  </si>
  <si>
    <t>[Vodafone Malta Ltd]</t>
  </si>
  <si>
    <t>[Redtouch fone Ltd]</t>
  </si>
  <si>
    <t>[Media.Link Communications Company Ltd (PING)]</t>
  </si>
  <si>
    <t>[Yom Ltd]</t>
  </si>
  <si>
    <t>[Post-Paid]</t>
  </si>
  <si>
    <t>Mobile subscriptions on a bundle offer</t>
  </si>
  <si>
    <t xml:space="preserve">   as a percentage of total mobile subscriptions</t>
  </si>
  <si>
    <t>Outgoing SMSs</t>
  </si>
  <si>
    <t>Outgoing MMSs</t>
  </si>
  <si>
    <t>Roaming activity - minutes</t>
  </si>
  <si>
    <t xml:space="preserve">   minutes made</t>
  </si>
  <si>
    <t xml:space="preserve">   minutes received</t>
  </si>
  <si>
    <t>Average revenue per user (ARPU, €)</t>
  </si>
  <si>
    <t>Mobile penetration rate (%)</t>
  </si>
  <si>
    <t>Mobile inward portings</t>
  </si>
  <si>
    <t xml:space="preserve">   Go</t>
  </si>
  <si>
    <t xml:space="preserve">   Melita</t>
  </si>
  <si>
    <t xml:space="preserve">   Vodafone</t>
  </si>
  <si>
    <t xml:space="preserve">   Ozone</t>
  </si>
  <si>
    <t xml:space="preserve">   SIS</t>
  </si>
  <si>
    <t xml:space="preserve">   Vanilla</t>
  </si>
  <si>
    <t>[Vanilla Telecoms Ltd]</t>
  </si>
  <si>
    <t>[SKY-BWA]</t>
  </si>
  <si>
    <t>[Solutions and Infrustructure Ltd (SIS)]</t>
  </si>
  <si>
    <t>Other subscriptions</t>
  </si>
  <si>
    <t>Fixed line inward portings</t>
  </si>
  <si>
    <t>Fixed Broadband</t>
  </si>
  <si>
    <t>Cable subscriptions</t>
  </si>
  <si>
    <t>[Cable Subscribers]</t>
  </si>
  <si>
    <t>DSL subscriptions</t>
  </si>
  <si>
    <t>[DSL Subscribers]</t>
  </si>
  <si>
    <t xml:space="preserve">   Other</t>
  </si>
  <si>
    <t>[Wimax Subscribers]</t>
  </si>
  <si>
    <t xml:space="preserve">   Vanilla Telecoms</t>
  </si>
  <si>
    <t>less than 5Mbps</t>
  </si>
  <si>
    <t>greater than or equal to 5Mbps but less than 10Mbps</t>
  </si>
  <si>
    <t>greater than or equal to 10Mbps but less than 20Mbps</t>
  </si>
  <si>
    <t>greater than or equal to 20Mbps but less than 30Mbps</t>
  </si>
  <si>
    <t>greater than or equal to 30Mbps but less than 50Mbps</t>
  </si>
  <si>
    <t>greater than or equal to 50Mbps but less than 100Mbps</t>
  </si>
  <si>
    <t>100Mbps and more</t>
  </si>
  <si>
    <t xml:space="preserve">   less than 5Mbps</t>
  </si>
  <si>
    <t xml:space="preserve">   greater than or equal to 5Mbps but less than 10Mbps</t>
  </si>
  <si>
    <t xml:space="preserve">   greater than or equal to 10Mbps but less than 20Mbps</t>
  </si>
  <si>
    <t xml:space="preserve">   greater than or equal to 20Mbps but less than 30Mbps</t>
  </si>
  <si>
    <t xml:space="preserve">   greater than or equal to 30Mbps but less than 50Mbps</t>
  </si>
  <si>
    <t xml:space="preserve">   greater than or equal to 50Mbps but less than 100Mbps</t>
  </si>
  <si>
    <t xml:space="preserve">   100Mbps and more</t>
  </si>
  <si>
    <t xml:space="preserve">   as a percentage of fixed broadband subscriptions</t>
  </si>
  <si>
    <t>Pay TV</t>
  </si>
  <si>
    <t>Analogue Pay TV subscriptions</t>
  </si>
  <si>
    <t>[Analogue Subscribers]</t>
  </si>
  <si>
    <t>Digital Pay TV subscriptions</t>
  </si>
  <si>
    <t>[Digital Subscribers]</t>
  </si>
  <si>
    <t>IPTV subscriptions</t>
  </si>
  <si>
    <t>[IPTV Subscribers]</t>
  </si>
  <si>
    <t xml:space="preserve">   as a percentage of total digital Pay TV subscriptions</t>
  </si>
  <si>
    <t>Post</t>
  </si>
  <si>
    <t>[Postal - Domestic]</t>
  </si>
  <si>
    <t xml:space="preserve">   Outbound cross border mail</t>
  </si>
  <si>
    <t>[Postal - Outbound]</t>
  </si>
  <si>
    <t xml:space="preserve">   Inbound cross border mail</t>
  </si>
  <si>
    <t>[Postal - Inbound]</t>
  </si>
  <si>
    <t>Subscriptions on a bundle offer</t>
  </si>
  <si>
    <t>as a percentage of total mobile subscriptions</t>
  </si>
  <si>
    <t xml:space="preserve">     minutes made</t>
  </si>
  <si>
    <t xml:space="preserve">     minutes received</t>
  </si>
  <si>
    <r>
      <t xml:space="preserve">Average revenue per user (ARPU </t>
    </r>
    <r>
      <rPr>
        <sz val="11"/>
        <rFont val="Calibri"/>
        <family val="2"/>
      </rPr>
      <t>€)</t>
    </r>
  </si>
  <si>
    <t>Fixed Line Telephony</t>
  </si>
  <si>
    <t xml:space="preserve">  other subscriptions</t>
  </si>
  <si>
    <t xml:space="preserve"> Dial-up subscriptions</t>
  </si>
  <si>
    <t xml:space="preserve"> Fixed broadband subscriptions</t>
  </si>
  <si>
    <t xml:space="preserve">   DSL subscriptions</t>
  </si>
  <si>
    <t>as a percentage of fixed broadband subscriptions</t>
  </si>
  <si>
    <t>Fixed broadband penetration rate (%)</t>
  </si>
  <si>
    <t xml:space="preserve"> analogue subscriptions</t>
  </si>
  <si>
    <t xml:space="preserve"> digital subscriptions</t>
  </si>
  <si>
    <t xml:space="preserve">   cable</t>
  </si>
  <si>
    <t xml:space="preserve">   DTTV</t>
  </si>
  <si>
    <t xml:space="preserve">   IPTV</t>
  </si>
  <si>
    <t>as a percentage of total digital Pay TV subscriptions</t>
  </si>
  <si>
    <t xml:space="preserve">Postal mail volumes  </t>
  </si>
  <si>
    <t xml:space="preserve">   bulk mail items</t>
  </si>
  <si>
    <t xml:space="preserve">   registered mail items</t>
  </si>
  <si>
    <t xml:space="preserve">   parcel mail items</t>
  </si>
  <si>
    <t>A.0</t>
  </si>
  <si>
    <t>A.1</t>
  </si>
  <si>
    <t>Active subscriptions</t>
  </si>
  <si>
    <t>Subscriptions having a MSISDN with registered inbound or outbound activity within 90 days of the period stipulated.</t>
  </si>
  <si>
    <t>A.2</t>
  </si>
  <si>
    <t>Outgoing voice calls</t>
  </si>
  <si>
    <t>Number of calls originating from local mobile networks</t>
  </si>
  <si>
    <t>A.3</t>
  </si>
  <si>
    <t>Outgoing voice traffic minutes</t>
  </si>
  <si>
    <t>Number of minutes originating from local mobile networks</t>
  </si>
  <si>
    <t>A.4</t>
  </si>
  <si>
    <t>Number of SMSs originating from local mobile networks.</t>
  </si>
  <si>
    <t>A.5</t>
  </si>
  <si>
    <t>Number of MMSs originating from local mobile networks.</t>
  </si>
  <si>
    <t>A.6</t>
  </si>
  <si>
    <t>A.6.1</t>
  </si>
  <si>
    <t>Number of minutes originated by subscribers while roaming abroad as per TAP records during the period.</t>
  </si>
  <si>
    <t>Number of minutes received by subscribers roaming abroad as per TAP records during the period.</t>
  </si>
  <si>
    <t>A.6.2</t>
  </si>
  <si>
    <t xml:space="preserve"> Inbound roaming activity</t>
  </si>
  <si>
    <t>Number of minutes originated by foreign subscribers roaming on a local mobile network as per TAP records during the period.</t>
  </si>
  <si>
    <t>Number of terminated minutes received by foreign subscribers roaming on local mobile network as per TAP records during the period.</t>
  </si>
  <si>
    <t>A.7</t>
  </si>
  <si>
    <t>Mobile ARPU figures are derived by dividing the total retail revenues of service providers by the average number of active subscriptions, during a given period.  Revenues include the total revenues from all outgoing voice activity registered by all active postpaid and prepaid subscribers, including total revenues from MMS and SMS activity, total revenues from monthly access fees, total revenues from data services and total outbound roaming revenues BUT EXCLUDING inbound roaming revenues.  The average number of active subscriptions during a given period is derived by adding the number of active subscriptions at the start of the period plus the number of subscriptions at the end of the said period, divided by two.</t>
  </si>
  <si>
    <t>A.8</t>
  </si>
  <si>
    <t>Measured as the total number of mobile subscriptions per population.</t>
  </si>
  <si>
    <t>A.9</t>
  </si>
  <si>
    <t>Number of portings that were completed successfully within the time limits of the specification (1 day or if quota is applied).</t>
  </si>
  <si>
    <t>B.0</t>
  </si>
  <si>
    <t>B.1</t>
  </si>
  <si>
    <t>Subscriptions with registered inbound or outbound activity within 90 days of the period stipulated.</t>
  </si>
  <si>
    <t xml:space="preserve">   other subscriptions</t>
  </si>
  <si>
    <t>Subscriptions not having a standard fixed telephony connection (incl. dual and 30 channel subs) with registered inbound or outbound activity within 90 days of the period stipulated.</t>
  </si>
  <si>
    <t>B.2</t>
  </si>
  <si>
    <t>Number of calls originating from local fixed networks.</t>
  </si>
  <si>
    <t>B.3</t>
  </si>
  <si>
    <t>Number of minutes of calls originating from local fixed networks.</t>
  </si>
  <si>
    <t>B.4</t>
  </si>
  <si>
    <t>Fixed ARPU figures are derived by dividing the total retail revenues of service providers by the average number of active subscriptions during a given period.   Revenues include the total revenues from all outgoing voice activity registered by all active fixed line subscriptions including revenues from freephone calls and premium calls, and total revenues from monthly access fees. The average number of active subscriptions during a given period is derived by adding the number of active subscriptions at the start of the period plus the number of subscriptions at the end of the said period, divided by two.</t>
  </si>
  <si>
    <t>B.5</t>
  </si>
  <si>
    <t>Number of portings that were completed successfully within the time limits of the specification.</t>
  </si>
  <si>
    <t>C.0</t>
  </si>
  <si>
    <t>C.1</t>
  </si>
  <si>
    <t>Connections having recorded a transaction within 90 days of the period stipulated.</t>
  </si>
  <si>
    <t>C.1.1</t>
  </si>
  <si>
    <t>Dial-up subscriptions</t>
  </si>
  <si>
    <t>Connections which made a call to an internet number (2188 or 2186) within the last 90 days</t>
  </si>
  <si>
    <t>C.1.2</t>
  </si>
  <si>
    <t>Fixed broadband subscriptions</t>
  </si>
  <si>
    <t>Connections to the internet which are 'always on' and have a speed of more than 128kbps.</t>
  </si>
  <si>
    <t>Cable connections to the internet which are 'always on' and have a speed of more than 128kbps.</t>
  </si>
  <si>
    <t>DSL connections to the internet which are 'always on' and have a speed of more than 128kbps.</t>
  </si>
  <si>
    <t>Fixed wireless connections to the internet which are 'always on' and have a speed of more than 128kbps.</t>
  </si>
  <si>
    <t>C.2</t>
  </si>
  <si>
    <t>This indicator captures the average quarterly spend per active user for fixed broadband services. The revenue element is composed of the total retail revenues from subscriptions to fixed broadband services, but excludes installation and connection revenues. The number of subscriptions reflects the average of the total subscriptions to broadband services within the period under review. The average number of subscriptions is calculated by taking the sum of the total subscriptions at the start and the end of the quarter divided by two.</t>
  </si>
  <si>
    <t>C.3</t>
  </si>
  <si>
    <t>Measured as the total number of fixed broadband active connections per population.</t>
  </si>
  <si>
    <t>D.0</t>
  </si>
  <si>
    <t>D.1</t>
  </si>
  <si>
    <t>Active Pay TV subscriptions</t>
  </si>
  <si>
    <t>Connections receiving a Pay TV service within the past 90 days from the period stipulated.</t>
  </si>
  <si>
    <t>D.1.1</t>
  </si>
  <si>
    <t xml:space="preserve"> Analogue subscriptions</t>
  </si>
  <si>
    <t>Connections receiving an analogue Pay TV service within the past 90 days of the period stipulated.</t>
  </si>
  <si>
    <t>D.1.2</t>
  </si>
  <si>
    <t xml:space="preserve"> Digital subscriptions</t>
  </si>
  <si>
    <t>Connections receiving a digital Pay TV service within the past 90 days of the period stipulated.</t>
  </si>
  <si>
    <t>D.1.3</t>
  </si>
  <si>
    <t xml:space="preserve"> IPTV subscriptions</t>
  </si>
  <si>
    <t>Connections receiving an IPTV service within the past 90 days of the period stipulated.</t>
  </si>
  <si>
    <t>D.2</t>
  </si>
  <si>
    <t xml:space="preserve">This indicator captures the average quarterly spend per user for Pay TV services. The revenue element is composed of the total retail revenues from subscriptions to pay TV services, but excludes revenues for premium services and installations and connections. The number of subscritpions reflects the average of the total subscriptions to pay TV services within the quarter. The average number of subscriptions is calculated by taking the sum of the total subscriptions at the start and the end of the quarter divided by two. </t>
  </si>
  <si>
    <t>E.0</t>
  </si>
  <si>
    <t>E.1</t>
  </si>
  <si>
    <t>Volume of letter mail items.</t>
  </si>
  <si>
    <t>Volume of bulk mail items.</t>
  </si>
  <si>
    <t>Volume of registered mail items.</t>
  </si>
  <si>
    <t>LEGAL DISCLAIMER</t>
  </si>
  <si>
    <t xml:space="preserve">This document contains information and statistics that have been obtained from sources believed to be reliable in regard to the subject matter covered. </t>
  </si>
  <si>
    <t xml:space="preserve">This document does not however constitute commercial, legal or other advice however so described. The Malta Communications Authority ("MCA") excludes any warranty and, or liability, expressed or implied, as to the quality, completeness, adequacy and accuracy of the information, statements and statistics contained within this document. </t>
  </si>
  <si>
    <t xml:space="preserve">The MCA reserves the right to change and update the information, statements and statistics provided in this document at its discretion and without prior notification and assumes no obligation to update the document on the basis of suggestions, comments and/or queries made  by third parties. </t>
  </si>
  <si>
    <t>The MCA assumes no responsibility for any consequences that may arise in the absence of such changes and/or updates.</t>
  </si>
  <si>
    <t>To the fullest extent permitted by law, neither the MCA nor any of its officers however so described or agents will assume responsibility and/or liability for any loss or damage, including losses or damages such as loss of goodwill, income, profit or opportunity, or any other claim of third parties, arising from or related to the use of the content of this document.</t>
  </si>
  <si>
    <t>Data published as at: 17 September 2014</t>
  </si>
  <si>
    <t>Mobile telephony</t>
  </si>
  <si>
    <t xml:space="preserve">  pre-paid subscriptions</t>
  </si>
  <si>
    <t xml:space="preserve">  post-paid subscriptions</t>
  </si>
  <si>
    <t xml:space="preserve">  Inbound roaming minutes</t>
  </si>
  <si>
    <t xml:space="preserve">  Outbound roaming minutes</t>
  </si>
  <si>
    <t>Fixed line telephony</t>
  </si>
  <si>
    <t>Fixed broadband</t>
  </si>
  <si>
    <t>Fixed broadband subscriptions on a bundle offer</t>
  </si>
  <si>
    <t>Digital Pay TV subscriptions on a bundle offer</t>
  </si>
  <si>
    <t>Outbound roaming minutes</t>
  </si>
  <si>
    <t>Inbound roaming minutes</t>
  </si>
  <si>
    <t>Pre-paid subscriptions</t>
  </si>
  <si>
    <t>Post-paid subscriptions</t>
  </si>
  <si>
    <t>Fixed line post-paid subscriptions on a bundle offer</t>
  </si>
  <si>
    <t xml:space="preserve">   as a percentage of total post-paid fixed line subscriptions</t>
  </si>
  <si>
    <t>Dial - up subscriptions</t>
  </si>
  <si>
    <t>Broadband subscriptions (by technology)</t>
  </si>
  <si>
    <t>Fixed wireless subscriptions</t>
  </si>
  <si>
    <t>Broadband subscriptions (by speed)</t>
  </si>
  <si>
    <t>As a percentage of total fixed broadband subscriptions</t>
  </si>
  <si>
    <t xml:space="preserve">   as a percentage of total Pay TV subscriptions</t>
  </si>
  <si>
    <t>Postal mail volumes</t>
  </si>
  <si>
    <t xml:space="preserve">   Domestic mail</t>
  </si>
  <si>
    <t>Parcel mail items</t>
  </si>
  <si>
    <t>Registered mail items</t>
  </si>
  <si>
    <t>Bulk mail items</t>
  </si>
  <si>
    <t>Letter mail items</t>
  </si>
  <si>
    <t xml:space="preserve">   pre-paid subscriptions</t>
  </si>
  <si>
    <t xml:space="preserve">   post-paid subscriptions</t>
  </si>
  <si>
    <t>Pre-paid subscriptions having a MSISDN with registered inbound or outbound activity within 90 days of the period stipulated.</t>
  </si>
  <si>
    <t>Post-paid subscriptions having a MSISDN with registered inbound or outbound activity within 30 days of the period stipulated.</t>
  </si>
  <si>
    <t xml:space="preserve"> Outbound roaming activity </t>
  </si>
  <si>
    <t>Subscriptions on a pre-paid service with registered inbound or outbound activity within 90 days of the period stipulated.</t>
  </si>
  <si>
    <t>Subscriptions on a post-paid service with registered inbound or outbound activity within 90 days of the period stipulated.</t>
  </si>
  <si>
    <t xml:space="preserve">   Cable subscriptions</t>
  </si>
  <si>
    <t xml:space="preserve">   Fixed wireless subscriptions</t>
  </si>
  <si>
    <t xml:space="preserve">   letter mail items</t>
  </si>
  <si>
    <t>Volume of domestically-bound and cross border mail parcels.</t>
  </si>
  <si>
    <t>as a percentage of total post-paid fixed line subscriptions</t>
  </si>
  <si>
    <t>Post-paid subscriptions on a bundle offer</t>
  </si>
  <si>
    <t>Q1 2010</t>
  </si>
  <si>
    <t>Q2 2010</t>
  </si>
  <si>
    <t>Q3 2010</t>
  </si>
  <si>
    <t>Q4 2010</t>
  </si>
  <si>
    <t>Q1 2011</t>
  </si>
  <si>
    <t>Q2 2011</t>
  </si>
  <si>
    <t>Q3 2011</t>
  </si>
  <si>
    <t>Q4 2011</t>
  </si>
  <si>
    <t>Q1 2012</t>
  </si>
  <si>
    <t>Q2 2012</t>
  </si>
  <si>
    <t>Q3 2012</t>
  </si>
  <si>
    <t>Q4 2012</t>
  </si>
  <si>
    <t>Q1 2013</t>
  </si>
  <si>
    <t>Q2 2013</t>
  </si>
  <si>
    <t>Q3 2013</t>
  </si>
  <si>
    <t>Q4 2013</t>
  </si>
  <si>
    <t>Q1 2014</t>
  </si>
  <si>
    <t>Q2 2014</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</si>
</sst>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809]d\ mmmm\ yyyy;@"/>
    <numFmt numFmtId="166" formatCode="_-[$€-2]\ * #,##0.00_-;\-[$€-2]\ * #,##0.00_-;_-[$€-2]\ * &quot;-&quot;??_-;_-@_-"/>
  </numFmts>
  <fonts count="61">
    <font>
      <sz val="11"/>
      <color theme="1"/>
      <name val="Calibri"/>
      <family val="2"/>
    </font>
    <font>
      <sz val="11"/>
      <color indexed="8"/>
      <name val="Calibri"/>
      <family val="2"/>
    </font>
    <font>
      <b/>
      <sz val="11"/>
      <color indexed="9"/>
      <name val="Calibri"/>
      <family val="2"/>
    </font>
    <font>
      <b/>
      <sz val="11"/>
      <color indexed="8"/>
      <name val="Calibri"/>
      <family val="2"/>
    </font>
    <font>
      <sz val="11"/>
      <color indexed="9"/>
      <name val="Calibri"/>
      <family val="2"/>
    </font>
    <font>
      <b/>
      <sz val="10"/>
      <name val="Verdana"/>
      <family val="2"/>
    </font>
    <font>
      <sz val="8"/>
      <name val="Verdana"/>
      <family val="2"/>
    </font>
    <font>
      <sz val="11"/>
      <color indexed="8"/>
      <name val="Verdana"/>
      <family val="2"/>
    </font>
    <font>
      <b/>
      <sz val="11"/>
      <color indexed="9"/>
      <name val="Verdana"/>
      <family val="2"/>
    </font>
    <font>
      <b/>
      <sz val="20"/>
      <color indexed="9"/>
      <name val="Verdana"/>
      <family val="2"/>
    </font>
    <font>
      <b/>
      <sz val="16"/>
      <name val="Verdana"/>
      <family val="2"/>
    </font>
    <font>
      <b/>
      <sz val="11"/>
      <color indexed="8"/>
      <name val="Verdana"/>
      <family val="2"/>
    </font>
    <font>
      <sz val="11"/>
      <color indexed="9"/>
      <name val="Verdana"/>
      <family val="2"/>
    </font>
    <font>
      <b/>
      <sz val="9"/>
      <name val="Verdana"/>
      <family val="2"/>
    </font>
    <font>
      <sz val="8"/>
      <color indexed="9"/>
      <name val="Verdana"/>
      <family val="2"/>
    </font>
    <font>
      <b/>
      <u val="single"/>
      <sz val="11"/>
      <color indexed="9"/>
      <name val="Calibri"/>
      <family val="2"/>
    </font>
    <font>
      <sz val="8"/>
      <color indexed="8"/>
      <name val="Verdana"/>
      <family val="2"/>
    </font>
    <font>
      <sz val="10"/>
      <name val="Arial"/>
      <family val="2"/>
    </font>
    <font>
      <b/>
      <sz val="10"/>
      <color indexed="9"/>
      <name val="Verdana"/>
      <family val="2"/>
    </font>
    <font>
      <b/>
      <sz val="12"/>
      <color indexed="8"/>
      <name val="Calibri"/>
      <family val="2"/>
    </font>
    <font>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b/>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2"/>
      <color theme="1"/>
      <name val="Calibri"/>
      <family val="2"/>
    </font>
    <font>
      <b/>
      <sz val="18"/>
      <color theme="3"/>
      <name val="Cambria"/>
      <family val="2"/>
    </font>
    <font>
      <sz val="11"/>
      <color rgb="FFFF0000"/>
      <name val="Calibri"/>
      <family val="2"/>
    </font>
    <font>
      <sz val="11"/>
      <color theme="1"/>
      <name val="Verdana"/>
      <family val="2"/>
    </font>
    <font>
      <b/>
      <sz val="11"/>
      <color theme="1"/>
      <name val="Verdana"/>
      <family val="2"/>
    </font>
    <font>
      <b/>
      <sz val="11"/>
      <color theme="0"/>
      <name val="Verdana"/>
      <family val="2"/>
    </font>
    <font>
      <sz val="11"/>
      <color theme="0"/>
      <name val="Verdana"/>
      <family val="2"/>
    </font>
    <font>
      <sz val="8"/>
      <color theme="0"/>
      <name val="Verdana"/>
      <family val="2"/>
    </font>
    <font>
      <b/>
      <sz val="20"/>
      <color theme="0"/>
      <name val="Verdana"/>
      <family val="2"/>
    </font>
    <font>
      <sz val="8"/>
      <color theme="1"/>
      <name val="Verdana"/>
      <family val="2"/>
    </font>
    <font>
      <b/>
      <sz val="10"/>
      <color theme="0"/>
      <name val="Verdana"/>
      <family val="2"/>
    </font>
    <font>
      <sz val="8"/>
      <color rgb="FF000000"/>
      <name val="Verdana"/>
      <family val="2"/>
    </font>
    <font>
      <b/>
      <u val="single"/>
      <sz val="11"/>
      <color theme="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3" tint="0.5999900102615356"/>
        <bgColor indexed="64"/>
      </patternFill>
    </fill>
    <fill>
      <patternFill patternType="solid">
        <fgColor theme="0" tint="-0.3499799966812134"/>
        <bgColor indexed="64"/>
      </patternFill>
    </fill>
    <fill>
      <patternFill patternType="solid">
        <fgColor theme="0"/>
        <bgColor indexed="64"/>
      </patternFill>
    </fill>
    <fill>
      <patternFill patternType="solid">
        <fgColor theme="4" tint="-0.24997000396251678"/>
        <bgColor indexed="64"/>
      </patternFill>
    </fill>
    <fill>
      <patternFill patternType="solid">
        <fgColor rgb="FFDBE5F1"/>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medium"/>
      <right/>
      <top style="medium"/>
      <bottom/>
    </border>
    <border>
      <left>
        <color indexed="63"/>
      </left>
      <right>
        <color indexed="63"/>
      </right>
      <top style="thin">
        <color theme="4"/>
      </top>
      <bottom style="double">
        <color theme="4"/>
      </bottom>
    </border>
    <border>
      <left style="medium"/>
      <right/>
      <top style="medium"/>
      <bottom style="medium"/>
    </border>
    <border>
      <left style="medium"/>
      <right style="medium"/>
      <top/>
      <bottom style="medium"/>
    </border>
    <border>
      <left style="medium"/>
      <right style="medium"/>
      <top/>
      <bottom/>
    </border>
    <border>
      <left/>
      <right/>
      <top style="medium"/>
      <bottom style="medium"/>
    </border>
    <border>
      <left style="medium"/>
      <right/>
      <top/>
      <bottom style="medium"/>
    </border>
    <border>
      <left style="medium"/>
      <right/>
      <top/>
      <bottom/>
    </border>
    <border>
      <left/>
      <right style="medium"/>
      <top/>
      <bottom/>
    </border>
    <border>
      <left/>
      <right/>
      <top/>
      <bottom style="medium"/>
    </border>
    <border>
      <left style="medium"/>
      <right style="thin"/>
      <top/>
      <bottom/>
    </border>
    <border>
      <left/>
      <right style="thin"/>
      <top/>
      <bottom/>
    </border>
    <border>
      <left style="thin"/>
      <right style="thin"/>
      <top/>
      <bottom/>
    </border>
    <border>
      <left style="medium"/>
      <right style="thin"/>
      <top style="thin"/>
      <bottom style="thin"/>
    </border>
    <border>
      <left/>
      <right style="thin"/>
      <top style="thin"/>
      <bottom style="thin"/>
    </border>
    <border>
      <left style="thin"/>
      <right style="thin"/>
      <top style="thin"/>
      <bottom style="thin"/>
    </border>
    <border>
      <left/>
      <right style="medium"/>
      <top/>
      <bottom style="thin"/>
    </border>
    <border>
      <left/>
      <right/>
      <top style="medium"/>
      <bottom/>
    </border>
    <border>
      <left style="medium"/>
      <right style="medium"/>
      <top style="medium"/>
      <bottom style="medium"/>
    </border>
    <border>
      <left style="medium"/>
      <right style="medium"/>
      <top style="medium"/>
      <bottom/>
    </border>
    <border>
      <left style="medium"/>
      <right style="thin"/>
      <top style="medium"/>
      <bottom/>
    </border>
    <border>
      <left/>
      <right style="thin"/>
      <top style="medium"/>
      <bottom/>
    </border>
    <border>
      <left style="thin"/>
      <right style="thin"/>
      <top style="medium"/>
      <bottom/>
    </border>
    <border>
      <left/>
      <right style="medium"/>
      <top style="medium"/>
      <bottom/>
    </border>
    <border>
      <left style="medium"/>
      <right style="thin"/>
      <top/>
      <bottom style="medium"/>
    </border>
    <border>
      <left/>
      <right style="thin"/>
      <top/>
      <bottom style="medium"/>
    </border>
    <border>
      <left style="thin"/>
      <right style="thin"/>
      <top/>
      <bottom style="medium"/>
    </border>
    <border>
      <left/>
      <right style="medium"/>
      <top/>
      <bottom style="medium"/>
    </border>
    <border>
      <left/>
      <right/>
      <top style="thin"/>
      <bottom/>
    </border>
    <border>
      <left/>
      <right/>
      <top style="thin"/>
      <bottom style="thin"/>
    </border>
    <border>
      <left style="thin"/>
      <right style="medium"/>
      <top/>
      <bottom/>
    </border>
    <border>
      <left/>
      <right style="medium"/>
      <top style="thin"/>
      <bottom style="thin"/>
    </border>
    <border>
      <left/>
      <right style="medium"/>
      <top style="medium"/>
      <bottom style="medium"/>
    </border>
    <border>
      <left style="medium"/>
      <right/>
      <top/>
      <bottom style="thin"/>
    </border>
    <border>
      <left/>
      <right/>
      <top/>
      <bottom style="thin"/>
    </border>
  </borders>
  <cellStyleXfs count="64">
    <xf numFmtId="0" fontId="0" fillId="0" borderId="0">
      <alignment/>
      <protection/>
    </xf>
    <xf numFmtId="0" fontId="34"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17"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33" borderId="9" applyNumberFormat="0" applyFont="0" applyBorder="0" applyAlignment="0">
      <protection/>
    </xf>
    <xf numFmtId="0" fontId="49" fillId="0" borderId="0" applyNumberFormat="0" applyFill="0" applyBorder="0" applyAlignment="0" applyProtection="0"/>
    <xf numFmtId="0" fontId="34" fillId="0" borderId="10" applyNumberFormat="0" applyFill="0" applyAlignment="0" applyProtection="0"/>
    <xf numFmtId="0" fontId="50" fillId="0" borderId="0" applyNumberFormat="0" applyFill="0" applyBorder="0" applyAlignment="0" applyProtection="0"/>
  </cellStyleXfs>
  <cellXfs count="308">
    <xf numFmtId="0" fontId="0" fillId="0" borderId="0" xfId="0" applyFont="1" applyAlignment="1">
      <alignment/>
    </xf>
    <xf numFmtId="0" fontId="10" fillId="34" borderId="11" xfId="0" applyFont="1" applyFill="1" applyBorder="1" applyAlignment="1">
      <alignment horizontal="left"/>
    </xf>
    <xf numFmtId="0" fontId="0" fillId="0" borderId="12" xfId="0" applyBorder="1" applyAlignment="1">
      <alignment/>
    </xf>
    <xf numFmtId="0" fontId="0" fillId="0" borderId="0" xfId="0" applyBorder="1" applyAlignment="1">
      <alignment/>
    </xf>
    <xf numFmtId="0" fontId="0" fillId="0" borderId="0" xfId="0" applyAlignment="1">
      <alignment horizontal="center"/>
    </xf>
    <xf numFmtId="0" fontId="0" fillId="0" borderId="13" xfId="0" applyBorder="1" applyAlignment="1">
      <alignment horizontal="left"/>
    </xf>
    <xf numFmtId="0" fontId="0" fillId="0" borderId="0" xfId="0" applyFill="1" applyAlignment="1">
      <alignment/>
    </xf>
    <xf numFmtId="0" fontId="0" fillId="0" borderId="13" xfId="0" applyBorder="1" applyAlignment="1">
      <alignment horizontal="center"/>
    </xf>
    <xf numFmtId="0" fontId="0" fillId="0" borderId="0" xfId="0" applyBorder="1" applyAlignment="1">
      <alignment horizontal="center"/>
    </xf>
    <xf numFmtId="0" fontId="51" fillId="0" borderId="0" xfId="0" applyFont="1" applyAlignment="1">
      <alignment/>
    </xf>
    <xf numFmtId="0" fontId="10" fillId="34" borderId="14" xfId="0" applyFont="1" applyFill="1" applyBorder="1" applyAlignment="1">
      <alignment/>
    </xf>
    <xf numFmtId="0" fontId="52" fillId="0" borderId="0" xfId="0" applyFont="1" applyBorder="1" applyAlignment="1">
      <alignment/>
    </xf>
    <xf numFmtId="164" fontId="53" fillId="35" borderId="15" xfId="0" applyNumberFormat="1" applyFont="1" applyFill="1" applyBorder="1" applyAlignment="1">
      <alignment/>
    </xf>
    <xf numFmtId="0" fontId="53" fillId="0" borderId="0" xfId="0" applyFont="1" applyFill="1" applyBorder="1" applyAlignment="1">
      <alignment horizontal="left"/>
    </xf>
    <xf numFmtId="0" fontId="52" fillId="0" borderId="0" xfId="0" applyFont="1" applyFill="1" applyBorder="1" applyAlignment="1">
      <alignment/>
    </xf>
    <xf numFmtId="164" fontId="53" fillId="0" borderId="0" xfId="0" applyNumberFormat="1" applyFont="1" applyFill="1" applyBorder="1" applyAlignment="1">
      <alignment/>
    </xf>
    <xf numFmtId="0" fontId="51" fillId="0" borderId="0" xfId="0" applyFont="1" applyFill="1" applyBorder="1" applyAlignment="1">
      <alignment/>
    </xf>
    <xf numFmtId="164" fontId="53" fillId="35" borderId="11" xfId="43" applyNumberFormat="1" applyFont="1" applyFill="1" applyBorder="1" applyAlignment="1">
      <alignment horizontal="center" vertical="center"/>
    </xf>
    <xf numFmtId="0" fontId="51" fillId="0" borderId="13" xfId="0" applyFont="1" applyBorder="1" applyAlignment="1">
      <alignment/>
    </xf>
    <xf numFmtId="164" fontId="54" fillId="35" borderId="11" xfId="43" applyNumberFormat="1" applyFont="1" applyFill="1" applyBorder="1" applyAlignment="1">
      <alignment horizontal="center" vertical="center"/>
    </xf>
    <xf numFmtId="164" fontId="53" fillId="35" borderId="11" xfId="43" applyNumberFormat="1" applyFont="1" applyFill="1" applyBorder="1" applyAlignment="1">
      <alignment/>
    </xf>
    <xf numFmtId="164" fontId="53" fillId="35" borderId="9" xfId="43" applyNumberFormat="1" applyFont="1" applyFill="1" applyBorder="1" applyAlignment="1">
      <alignment/>
    </xf>
    <xf numFmtId="166" fontId="54" fillId="0" borderId="0" xfId="0" applyNumberFormat="1" applyFont="1" applyAlignment="1">
      <alignment/>
    </xf>
    <xf numFmtId="164" fontId="53" fillId="0" borderId="0" xfId="43" applyNumberFormat="1" applyFont="1" applyFill="1" applyBorder="1" applyAlignment="1">
      <alignment/>
    </xf>
    <xf numFmtId="0" fontId="51" fillId="0" borderId="16" xfId="0" applyFont="1" applyBorder="1" applyAlignment="1">
      <alignment/>
    </xf>
    <xf numFmtId="0" fontId="51" fillId="0" borderId="0" xfId="0" applyFont="1" applyBorder="1" applyAlignment="1">
      <alignment/>
    </xf>
    <xf numFmtId="0" fontId="51" fillId="0" borderId="17" xfId="0" applyFont="1" applyBorder="1" applyAlignment="1">
      <alignment/>
    </xf>
    <xf numFmtId="0" fontId="52" fillId="0" borderId="18" xfId="0" applyFont="1" applyBorder="1" applyAlignment="1">
      <alignment/>
    </xf>
    <xf numFmtId="0" fontId="51" fillId="0" borderId="0" xfId="0" applyFont="1" applyBorder="1" applyAlignment="1">
      <alignment horizontal="left"/>
    </xf>
    <xf numFmtId="166" fontId="54" fillId="0" borderId="0" xfId="59" applyNumberFormat="1" applyFont="1" applyBorder="1" applyAlignment="1">
      <alignment horizontal="center"/>
    </xf>
    <xf numFmtId="0" fontId="34" fillId="0" borderId="13" xfId="1" applyFill="1" applyBorder="1" applyAlignment="1">
      <alignment/>
    </xf>
    <xf numFmtId="164" fontId="6" fillId="2" borderId="19" xfId="43" applyNumberFormat="1" applyFont="1" applyFill="1" applyBorder="1" applyAlignment="1">
      <alignment horizontal="right"/>
    </xf>
    <xf numFmtId="164" fontId="6" fillId="2" borderId="20" xfId="43" applyNumberFormat="1" applyFont="1" applyFill="1" applyBorder="1" applyAlignment="1">
      <alignment horizontal="right"/>
    </xf>
    <xf numFmtId="164" fontId="6" fillId="2" borderId="21" xfId="43" applyNumberFormat="1" applyFont="1" applyFill="1" applyBorder="1" applyAlignment="1">
      <alignment horizontal="right"/>
    </xf>
    <xf numFmtId="164" fontId="6" fillId="2" borderId="17" xfId="43" applyNumberFormat="1" applyFont="1" applyFill="1" applyBorder="1" applyAlignment="1">
      <alignment horizontal="right"/>
    </xf>
    <xf numFmtId="10" fontId="6" fillId="0" borderId="19" xfId="59" applyNumberFormat="1" applyFont="1" applyFill="1" applyBorder="1" applyAlignment="1">
      <alignment horizontal="right"/>
    </xf>
    <xf numFmtId="10" fontId="6" fillId="0" borderId="20" xfId="59" applyNumberFormat="1" applyFont="1" applyFill="1" applyBorder="1" applyAlignment="1">
      <alignment horizontal="right"/>
    </xf>
    <xf numFmtId="43" fontId="6" fillId="0" borderId="21" xfId="43" applyFont="1" applyFill="1" applyBorder="1" applyAlignment="1">
      <alignment horizontal="right"/>
    </xf>
    <xf numFmtId="43" fontId="6" fillId="0" borderId="17" xfId="43" applyFont="1" applyFill="1" applyBorder="1" applyAlignment="1">
      <alignment horizontal="right"/>
    </xf>
    <xf numFmtId="10" fontId="6" fillId="0" borderId="21" xfId="59" applyNumberFormat="1" applyFont="1" applyFill="1" applyBorder="1" applyAlignment="1">
      <alignment horizontal="right"/>
    </xf>
    <xf numFmtId="10" fontId="6" fillId="0" borderId="17" xfId="59" applyNumberFormat="1" applyFont="1" applyFill="1" applyBorder="1" applyAlignment="1">
      <alignment horizontal="right"/>
    </xf>
    <xf numFmtId="43" fontId="6" fillId="0" borderId="19" xfId="43" applyFont="1" applyFill="1" applyBorder="1" applyAlignment="1">
      <alignment horizontal="right"/>
    </xf>
    <xf numFmtId="43" fontId="6" fillId="0" borderId="20" xfId="43" applyFont="1" applyFill="1" applyBorder="1" applyAlignment="1">
      <alignment horizontal="right"/>
    </xf>
    <xf numFmtId="164" fontId="34" fillId="0" borderId="19" xfId="1" applyNumberFormat="1" applyFill="1" applyBorder="1" applyAlignment="1">
      <alignment horizontal="right"/>
    </xf>
    <xf numFmtId="164" fontId="34" fillId="0" borderId="20" xfId="1" applyNumberFormat="1" applyFill="1" applyBorder="1" applyAlignment="1">
      <alignment horizontal="right"/>
    </xf>
    <xf numFmtId="164" fontId="34" fillId="0" borderId="21" xfId="1" applyNumberFormat="1" applyFill="1" applyBorder="1" applyAlignment="1">
      <alignment horizontal="right"/>
    </xf>
    <xf numFmtId="164" fontId="34" fillId="0" borderId="17" xfId="1" applyNumberFormat="1" applyFill="1" applyBorder="1" applyAlignment="1">
      <alignment horizontal="right"/>
    </xf>
    <xf numFmtId="164" fontId="6" fillId="4" borderId="19" xfId="43" applyNumberFormat="1" applyFont="1" applyFill="1" applyBorder="1" applyAlignment="1">
      <alignment horizontal="right"/>
    </xf>
    <xf numFmtId="164" fontId="6" fillId="4" borderId="20" xfId="43" applyNumberFormat="1" applyFont="1" applyFill="1" applyBorder="1" applyAlignment="1">
      <alignment horizontal="right"/>
    </xf>
    <xf numFmtId="164" fontId="6" fillId="4" borderId="21" xfId="43" applyNumberFormat="1" applyFont="1" applyFill="1" applyBorder="1" applyAlignment="1">
      <alignment horizontal="right"/>
    </xf>
    <xf numFmtId="164" fontId="6" fillId="4" borderId="17" xfId="43" applyNumberFormat="1" applyFont="1" applyFill="1" applyBorder="1" applyAlignment="1">
      <alignment horizontal="right"/>
    </xf>
    <xf numFmtId="164" fontId="6" fillId="0" borderId="19" xfId="43" applyNumberFormat="1" applyFont="1" applyFill="1" applyBorder="1" applyAlignment="1">
      <alignment horizontal="right"/>
    </xf>
    <xf numFmtId="164" fontId="6" fillId="0" borderId="20" xfId="43" applyNumberFormat="1" applyFont="1" applyFill="1" applyBorder="1" applyAlignment="1">
      <alignment horizontal="right"/>
    </xf>
    <xf numFmtId="164" fontId="6" fillId="0" borderId="21" xfId="43" applyNumberFormat="1" applyFont="1" applyFill="1" applyBorder="1" applyAlignment="1">
      <alignment horizontal="right"/>
    </xf>
    <xf numFmtId="164" fontId="6" fillId="0" borderId="17" xfId="43" applyNumberFormat="1" applyFont="1" applyFill="1" applyBorder="1" applyAlignment="1">
      <alignment horizontal="right"/>
    </xf>
    <xf numFmtId="0" fontId="13" fillId="34" borderId="22" xfId="0" applyFont="1" applyFill="1" applyBorder="1" applyAlignment="1">
      <alignment horizontal="center" vertical="center"/>
    </xf>
    <xf numFmtId="0" fontId="13" fillId="34" borderId="23" xfId="0" applyFont="1" applyFill="1" applyBorder="1" applyAlignment="1">
      <alignment horizontal="center" vertical="center"/>
    </xf>
    <xf numFmtId="0" fontId="13" fillId="34" borderId="24" xfId="0" applyFont="1" applyFill="1" applyBorder="1" applyAlignment="1">
      <alignment horizontal="center" vertical="center"/>
    </xf>
    <xf numFmtId="0" fontId="13" fillId="34" borderId="25" xfId="0" applyFont="1" applyFill="1" applyBorder="1" applyAlignment="1">
      <alignment horizontal="center" vertical="center"/>
    </xf>
    <xf numFmtId="0" fontId="54" fillId="35" borderId="14" xfId="0" applyFont="1" applyFill="1" applyBorder="1" applyAlignment="1">
      <alignment/>
    </xf>
    <xf numFmtId="0" fontId="53" fillId="35" borderId="14" xfId="0" applyFont="1" applyFill="1" applyBorder="1" applyAlignment="1">
      <alignment/>
    </xf>
    <xf numFmtId="0" fontId="53" fillId="35" borderId="26" xfId="0" applyFont="1" applyFill="1" applyBorder="1" applyAlignment="1">
      <alignment/>
    </xf>
    <xf numFmtId="0" fontId="53" fillId="35" borderId="0" xfId="0" applyFont="1" applyFill="1" applyBorder="1" applyAlignment="1">
      <alignment/>
    </xf>
    <xf numFmtId="0" fontId="53" fillId="35" borderId="27" xfId="0" applyFont="1" applyFill="1" applyBorder="1" applyAlignment="1">
      <alignment/>
    </xf>
    <xf numFmtId="10" fontId="6" fillId="33" borderId="19" xfId="59" applyNumberFormat="1" applyFont="1" applyFill="1" applyBorder="1" applyAlignment="1">
      <alignment horizontal="right"/>
    </xf>
    <xf numFmtId="10" fontId="6" fillId="33" borderId="20" xfId="59" applyNumberFormat="1" applyFont="1" applyFill="1" applyBorder="1" applyAlignment="1">
      <alignment horizontal="right"/>
    </xf>
    <xf numFmtId="10" fontId="6" fillId="33" borderId="21" xfId="59" applyNumberFormat="1" applyFont="1" applyFill="1" applyBorder="1" applyAlignment="1">
      <alignment horizontal="right"/>
    </xf>
    <xf numFmtId="10" fontId="6" fillId="33" borderId="17" xfId="59" applyNumberFormat="1" applyFont="1" applyFill="1" applyBorder="1" applyAlignment="1">
      <alignment horizontal="right"/>
    </xf>
    <xf numFmtId="4" fontId="6" fillId="2" borderId="19" xfId="0" applyNumberFormat="1" applyFont="1" applyFill="1" applyBorder="1" applyAlignment="1">
      <alignment horizontal="right"/>
    </xf>
    <xf numFmtId="4" fontId="6" fillId="2" borderId="20" xfId="0" applyNumberFormat="1" applyFont="1" applyFill="1" applyBorder="1" applyAlignment="1">
      <alignment horizontal="right"/>
    </xf>
    <xf numFmtId="4" fontId="6" fillId="2" borderId="21" xfId="0" applyNumberFormat="1" applyFont="1" applyFill="1" applyBorder="1" applyAlignment="1">
      <alignment horizontal="right"/>
    </xf>
    <xf numFmtId="4" fontId="6" fillId="2" borderId="17" xfId="0" applyNumberFormat="1" applyFont="1" applyFill="1" applyBorder="1" applyAlignment="1">
      <alignment horizontal="right"/>
    </xf>
    <xf numFmtId="4" fontId="6" fillId="0" borderId="19" xfId="0" applyNumberFormat="1" applyFont="1" applyFill="1" applyBorder="1" applyAlignment="1">
      <alignment horizontal="right"/>
    </xf>
    <xf numFmtId="4" fontId="6" fillId="0" borderId="20" xfId="0" applyNumberFormat="1" applyFont="1" applyFill="1" applyBorder="1" applyAlignment="1">
      <alignment horizontal="right"/>
    </xf>
    <xf numFmtId="4" fontId="6" fillId="0" borderId="21" xfId="0" applyNumberFormat="1" applyFont="1" applyFill="1" applyBorder="1" applyAlignment="1">
      <alignment horizontal="right"/>
    </xf>
    <xf numFmtId="4" fontId="6" fillId="0" borderId="17" xfId="0" applyNumberFormat="1" applyFont="1" applyFill="1" applyBorder="1" applyAlignment="1">
      <alignment horizontal="right"/>
    </xf>
    <xf numFmtId="10" fontId="6" fillId="2" borderId="19" xfId="59" applyNumberFormat="1" applyFont="1" applyFill="1" applyBorder="1" applyAlignment="1">
      <alignment horizontal="right"/>
    </xf>
    <xf numFmtId="10" fontId="6" fillId="2" borderId="20" xfId="59" applyNumberFormat="1" applyFont="1" applyFill="1" applyBorder="1" applyAlignment="1">
      <alignment horizontal="right"/>
    </xf>
    <xf numFmtId="10" fontId="6" fillId="2" borderId="21" xfId="59" applyNumberFormat="1" applyFont="1" applyFill="1" applyBorder="1" applyAlignment="1">
      <alignment horizontal="right"/>
    </xf>
    <xf numFmtId="10" fontId="6" fillId="2" borderId="17" xfId="59" applyNumberFormat="1" applyFont="1" applyFill="1" applyBorder="1" applyAlignment="1">
      <alignment horizontal="right"/>
    </xf>
    <xf numFmtId="43" fontId="6" fillId="2" borderId="19" xfId="43" applyNumberFormat="1" applyFont="1" applyFill="1" applyBorder="1" applyAlignment="1">
      <alignment horizontal="right"/>
    </xf>
    <xf numFmtId="43" fontId="6" fillId="2" borderId="20" xfId="43" applyNumberFormat="1" applyFont="1" applyFill="1" applyBorder="1" applyAlignment="1">
      <alignment horizontal="right"/>
    </xf>
    <xf numFmtId="43" fontId="6" fillId="2" borderId="21" xfId="43" applyNumberFormat="1" applyFont="1" applyFill="1" applyBorder="1" applyAlignment="1">
      <alignment horizontal="right"/>
    </xf>
    <xf numFmtId="43" fontId="6" fillId="2" borderId="17" xfId="43" applyNumberFormat="1" applyFont="1" applyFill="1" applyBorder="1" applyAlignment="1">
      <alignment horizontal="right"/>
    </xf>
    <xf numFmtId="164" fontId="6" fillId="36" borderId="19" xfId="43" applyNumberFormat="1" applyFont="1" applyFill="1" applyBorder="1" applyAlignment="1">
      <alignment horizontal="right"/>
    </xf>
    <xf numFmtId="164" fontId="6" fillId="36" borderId="20" xfId="43" applyNumberFormat="1" applyFont="1" applyFill="1" applyBorder="1" applyAlignment="1">
      <alignment horizontal="right"/>
    </xf>
    <xf numFmtId="164" fontId="6" fillId="36" borderId="21" xfId="43" applyNumberFormat="1" applyFont="1" applyFill="1" applyBorder="1" applyAlignment="1">
      <alignment horizontal="right"/>
    </xf>
    <xf numFmtId="164" fontId="6" fillId="36" borderId="17" xfId="43" applyNumberFormat="1" applyFont="1" applyFill="1" applyBorder="1" applyAlignment="1">
      <alignment horizontal="right"/>
    </xf>
    <xf numFmtId="0" fontId="54" fillId="0" borderId="0" xfId="0" applyFont="1" applyFill="1" applyAlignment="1">
      <alignment/>
    </xf>
    <xf numFmtId="0" fontId="55" fillId="0" borderId="13" xfId="0" applyFont="1" applyFill="1" applyBorder="1" applyAlignment="1">
      <alignment/>
    </xf>
    <xf numFmtId="164" fontId="55" fillId="0" borderId="19" xfId="43" applyNumberFormat="1" applyFont="1" applyFill="1" applyBorder="1" applyAlignment="1">
      <alignment horizontal="right"/>
    </xf>
    <xf numFmtId="164" fontId="55" fillId="0" borderId="20" xfId="43" applyNumberFormat="1" applyFont="1" applyFill="1" applyBorder="1" applyAlignment="1">
      <alignment horizontal="right"/>
    </xf>
    <xf numFmtId="164" fontId="55" fillId="0" borderId="21" xfId="43" applyNumberFormat="1" applyFont="1" applyFill="1" applyBorder="1" applyAlignment="1">
      <alignment horizontal="right"/>
    </xf>
    <xf numFmtId="164" fontId="55" fillId="0" borderId="17" xfId="43" applyNumberFormat="1" applyFont="1" applyFill="1" applyBorder="1" applyAlignment="1">
      <alignment horizontal="right"/>
    </xf>
    <xf numFmtId="164" fontId="6" fillId="33" borderId="19" xfId="43" applyNumberFormat="1" applyFont="1" applyFill="1" applyBorder="1" applyAlignment="1">
      <alignment horizontal="right"/>
    </xf>
    <xf numFmtId="164" fontId="6" fillId="33" borderId="20" xfId="43" applyNumberFormat="1" applyFont="1" applyFill="1" applyBorder="1" applyAlignment="1">
      <alignment horizontal="right"/>
    </xf>
    <xf numFmtId="164" fontId="6" fillId="33" borderId="21" xfId="43" applyNumberFormat="1" applyFont="1" applyFill="1" applyBorder="1" applyAlignment="1">
      <alignment horizontal="right"/>
    </xf>
    <xf numFmtId="164" fontId="6" fillId="33" borderId="17" xfId="43" applyNumberFormat="1" applyFont="1" applyFill="1" applyBorder="1" applyAlignment="1">
      <alignment horizontal="right"/>
    </xf>
    <xf numFmtId="0" fontId="53" fillId="0" borderId="0" xfId="0" applyFont="1" applyFill="1" applyBorder="1" applyAlignment="1">
      <alignment vertical="center"/>
    </xf>
    <xf numFmtId="0" fontId="53" fillId="35" borderId="26" xfId="0" applyFont="1" applyFill="1" applyBorder="1" applyAlignment="1">
      <alignment vertical="center"/>
    </xf>
    <xf numFmtId="164" fontId="53" fillId="35" borderId="15" xfId="43" applyNumberFormat="1" applyFont="1" applyFill="1" applyBorder="1" applyAlignment="1">
      <alignment/>
    </xf>
    <xf numFmtId="0" fontId="0" fillId="0" borderId="13" xfId="0" applyFill="1" applyBorder="1" applyAlignment="1">
      <alignment/>
    </xf>
    <xf numFmtId="164" fontId="0" fillId="0" borderId="19" xfId="0" applyNumberFormat="1" applyFill="1" applyBorder="1" applyAlignment="1">
      <alignment horizontal="right"/>
    </xf>
    <xf numFmtId="164" fontId="0" fillId="0" borderId="20" xfId="0" applyNumberFormat="1" applyFill="1" applyBorder="1" applyAlignment="1">
      <alignment horizontal="right"/>
    </xf>
    <xf numFmtId="164" fontId="0" fillId="0" borderId="21" xfId="0" applyNumberFormat="1" applyFill="1" applyBorder="1" applyAlignment="1">
      <alignment horizontal="right"/>
    </xf>
    <xf numFmtId="164" fontId="0" fillId="0" borderId="17" xfId="0" applyNumberFormat="1" applyFill="1" applyBorder="1" applyAlignment="1">
      <alignment horizontal="right"/>
    </xf>
    <xf numFmtId="43" fontId="6" fillId="33" borderId="19" xfId="43" applyFont="1" applyFill="1" applyBorder="1" applyAlignment="1">
      <alignment horizontal="right"/>
    </xf>
    <xf numFmtId="43" fontId="6" fillId="33" borderId="20" xfId="43" applyFont="1" applyFill="1" applyBorder="1" applyAlignment="1">
      <alignment horizontal="right"/>
    </xf>
    <xf numFmtId="43" fontId="6" fillId="33" borderId="21" xfId="43" applyFont="1" applyFill="1" applyBorder="1" applyAlignment="1">
      <alignment horizontal="right"/>
    </xf>
    <xf numFmtId="43" fontId="6" fillId="33" borderId="17" xfId="43" applyFont="1" applyFill="1" applyBorder="1" applyAlignment="1">
      <alignment horizontal="right"/>
    </xf>
    <xf numFmtId="166" fontId="54" fillId="0" borderId="0" xfId="0" applyNumberFormat="1" applyFont="1" applyBorder="1" applyAlignment="1">
      <alignment horizontal="left"/>
    </xf>
    <xf numFmtId="166" fontId="55" fillId="0" borderId="19" xfId="59" applyNumberFormat="1" applyFont="1" applyFill="1" applyBorder="1" applyAlignment="1">
      <alignment horizontal="right"/>
    </xf>
    <xf numFmtId="166" fontId="55" fillId="0" borderId="20" xfId="59" applyNumberFormat="1" applyFont="1" applyFill="1" applyBorder="1" applyAlignment="1">
      <alignment horizontal="right"/>
    </xf>
    <xf numFmtId="166" fontId="55" fillId="0" borderId="21" xfId="59" applyNumberFormat="1" applyFont="1" applyFill="1" applyBorder="1" applyAlignment="1">
      <alignment horizontal="right"/>
    </xf>
    <xf numFmtId="166" fontId="55" fillId="0" borderId="17" xfId="59" applyNumberFormat="1" applyFont="1" applyFill="1" applyBorder="1" applyAlignment="1">
      <alignment horizontal="right"/>
    </xf>
    <xf numFmtId="0" fontId="6" fillId="2" borderId="28" xfId="0" applyFont="1" applyFill="1" applyBorder="1" applyAlignment="1">
      <alignment/>
    </xf>
    <xf numFmtId="0" fontId="6" fillId="0" borderId="12" xfId="0" applyFont="1" applyFill="1" applyBorder="1" applyAlignment="1">
      <alignment/>
    </xf>
    <xf numFmtId="164" fontId="6" fillId="2" borderId="29" xfId="43" applyNumberFormat="1" applyFont="1" applyFill="1" applyBorder="1" applyAlignment="1">
      <alignment horizontal="right"/>
    </xf>
    <xf numFmtId="164" fontId="6" fillId="2" borderId="30" xfId="43" applyNumberFormat="1" applyFont="1" applyFill="1" applyBorder="1" applyAlignment="1">
      <alignment horizontal="right"/>
    </xf>
    <xf numFmtId="164" fontId="6" fillId="2" borderId="31" xfId="43" applyNumberFormat="1" applyFont="1" applyFill="1" applyBorder="1" applyAlignment="1">
      <alignment horizontal="right"/>
    </xf>
    <xf numFmtId="164" fontId="6" fillId="2" borderId="32" xfId="43" applyNumberFormat="1" applyFont="1" applyFill="1" applyBorder="1" applyAlignment="1">
      <alignment horizontal="right"/>
    </xf>
    <xf numFmtId="164" fontId="6" fillId="0" borderId="33" xfId="43" applyNumberFormat="1" applyFont="1" applyFill="1" applyBorder="1" applyAlignment="1">
      <alignment horizontal="right"/>
    </xf>
    <xf numFmtId="164" fontId="6" fillId="0" borderId="34" xfId="43" applyNumberFormat="1" applyFont="1" applyFill="1" applyBorder="1" applyAlignment="1">
      <alignment horizontal="right"/>
    </xf>
    <xf numFmtId="164" fontId="6" fillId="0" borderId="35" xfId="43" applyNumberFormat="1" applyFont="1" applyFill="1" applyBorder="1" applyAlignment="1">
      <alignment horizontal="right"/>
    </xf>
    <xf numFmtId="164" fontId="6" fillId="0" borderId="36" xfId="43" applyNumberFormat="1" applyFont="1" applyFill="1" applyBorder="1" applyAlignment="1">
      <alignment horizontal="right"/>
    </xf>
    <xf numFmtId="166" fontId="54" fillId="0" borderId="0" xfId="0" applyNumberFormat="1" applyFont="1" applyBorder="1" applyAlignment="1">
      <alignment/>
    </xf>
    <xf numFmtId="0" fontId="54" fillId="0" borderId="0" xfId="0" applyFont="1" applyBorder="1" applyAlignment="1">
      <alignment/>
    </xf>
    <xf numFmtId="0" fontId="54" fillId="0" borderId="17" xfId="0" applyFont="1" applyBorder="1" applyAlignment="1">
      <alignment/>
    </xf>
    <xf numFmtId="3" fontId="6" fillId="2" borderId="33" xfId="0" applyNumberFormat="1" applyFont="1" applyFill="1" applyBorder="1" applyAlignment="1">
      <alignment horizontal="right"/>
    </xf>
    <xf numFmtId="3" fontId="6" fillId="2" borderId="34" xfId="0" applyNumberFormat="1" applyFont="1" applyFill="1" applyBorder="1" applyAlignment="1">
      <alignment horizontal="right"/>
    </xf>
    <xf numFmtId="3" fontId="6" fillId="2" borderId="35" xfId="0" applyNumberFormat="1" applyFont="1" applyFill="1" applyBorder="1" applyAlignment="1">
      <alignment horizontal="right"/>
    </xf>
    <xf numFmtId="3" fontId="6" fillId="2" borderId="36" xfId="0" applyNumberFormat="1" applyFont="1" applyFill="1" applyBorder="1" applyAlignment="1">
      <alignment horizontal="right"/>
    </xf>
    <xf numFmtId="0" fontId="6" fillId="2" borderId="12" xfId="0" applyFont="1" applyFill="1" applyBorder="1" applyAlignment="1">
      <alignment/>
    </xf>
    <xf numFmtId="164" fontId="6" fillId="2" borderId="26" xfId="43" applyNumberFormat="1" applyFont="1" applyFill="1" applyBorder="1" applyAlignment="1">
      <alignment horizontal="right"/>
    </xf>
    <xf numFmtId="164" fontId="34" fillId="0" borderId="0" xfId="1" applyNumberFormat="1" applyFill="1" applyBorder="1" applyAlignment="1">
      <alignment horizontal="right"/>
    </xf>
    <xf numFmtId="164" fontId="6" fillId="4" borderId="0" xfId="43" applyNumberFormat="1" applyFont="1" applyFill="1" applyBorder="1" applyAlignment="1">
      <alignment horizontal="right"/>
    </xf>
    <xf numFmtId="164" fontId="6" fillId="0" borderId="0" xfId="43" applyNumberFormat="1" applyFont="1" applyFill="1" applyBorder="1" applyAlignment="1">
      <alignment horizontal="right"/>
    </xf>
    <xf numFmtId="164" fontId="6" fillId="2" borderId="0" xfId="43" applyNumberFormat="1" applyFont="1" applyFill="1" applyBorder="1" applyAlignment="1">
      <alignment horizontal="right"/>
    </xf>
    <xf numFmtId="10" fontId="6" fillId="33" borderId="0" xfId="59" applyNumberFormat="1" applyFont="1" applyFill="1" applyBorder="1" applyAlignment="1">
      <alignment horizontal="right"/>
    </xf>
    <xf numFmtId="4" fontId="6" fillId="2" borderId="0" xfId="0" applyNumberFormat="1" applyFont="1" applyFill="1" applyBorder="1" applyAlignment="1">
      <alignment horizontal="right"/>
    </xf>
    <xf numFmtId="4" fontId="6" fillId="0" borderId="0" xfId="0" applyNumberFormat="1" applyFont="1" applyFill="1" applyBorder="1" applyAlignment="1">
      <alignment horizontal="right"/>
    </xf>
    <xf numFmtId="10" fontId="6" fillId="2" borderId="0" xfId="59" applyNumberFormat="1" applyFont="1" applyFill="1" applyBorder="1" applyAlignment="1">
      <alignment horizontal="right"/>
    </xf>
    <xf numFmtId="3" fontId="6" fillId="2" borderId="18" xfId="0" applyNumberFormat="1" applyFont="1" applyFill="1" applyBorder="1" applyAlignment="1">
      <alignment horizontal="right"/>
    </xf>
    <xf numFmtId="0" fontId="53" fillId="0" borderId="13" xfId="0" applyFont="1" applyFill="1" applyBorder="1" applyAlignment="1">
      <alignment horizontal="left"/>
    </xf>
    <xf numFmtId="164" fontId="53" fillId="0" borderId="16" xfId="43" applyNumberFormat="1" applyFont="1" applyFill="1" applyBorder="1" applyAlignment="1">
      <alignment/>
    </xf>
    <xf numFmtId="164" fontId="53" fillId="0" borderId="17" xfId="43" applyNumberFormat="1" applyFont="1" applyFill="1" applyBorder="1" applyAlignment="1">
      <alignment/>
    </xf>
    <xf numFmtId="164" fontId="6" fillId="2" borderId="33" xfId="43" applyNumberFormat="1" applyFont="1" applyFill="1" applyBorder="1" applyAlignment="1">
      <alignment horizontal="right"/>
    </xf>
    <xf numFmtId="164" fontId="6" fillId="2" borderId="34" xfId="43" applyNumberFormat="1" applyFont="1" applyFill="1" applyBorder="1" applyAlignment="1">
      <alignment horizontal="right"/>
    </xf>
    <xf numFmtId="164" fontId="6" fillId="2" borderId="35" xfId="43" applyNumberFormat="1" applyFont="1" applyFill="1" applyBorder="1" applyAlignment="1">
      <alignment horizontal="right"/>
    </xf>
    <xf numFmtId="164" fontId="6" fillId="2" borderId="36" xfId="43" applyNumberFormat="1" applyFont="1" applyFill="1" applyBorder="1" applyAlignment="1">
      <alignment horizontal="right"/>
    </xf>
    <xf numFmtId="43" fontId="6" fillId="2" borderId="13" xfId="43" applyFont="1" applyFill="1" applyBorder="1" applyAlignment="1">
      <alignment horizontal="left" vertical="center"/>
    </xf>
    <xf numFmtId="0" fontId="51" fillId="0" borderId="13" xfId="0" applyFont="1" applyBorder="1" applyAlignment="1">
      <alignment horizontal="left"/>
    </xf>
    <xf numFmtId="0" fontId="6" fillId="2" borderId="12" xfId="0" applyFont="1" applyFill="1" applyBorder="1" applyAlignment="1">
      <alignment vertical="center"/>
    </xf>
    <xf numFmtId="166" fontId="55" fillId="0" borderId="13" xfId="0" applyNumberFormat="1" applyFont="1" applyFill="1" applyBorder="1" applyAlignment="1">
      <alignment/>
    </xf>
    <xf numFmtId="4" fontId="6" fillId="2" borderId="33" xfId="0" applyNumberFormat="1" applyFont="1" applyFill="1" applyBorder="1" applyAlignment="1">
      <alignment horizontal="right"/>
    </xf>
    <xf numFmtId="4" fontId="6" fillId="2" borderId="34" xfId="0" applyNumberFormat="1" applyFont="1" applyFill="1" applyBorder="1" applyAlignment="1">
      <alignment horizontal="right"/>
    </xf>
    <xf numFmtId="4" fontId="6" fillId="2" borderId="35" xfId="0" applyNumberFormat="1" applyFont="1" applyFill="1" applyBorder="1" applyAlignment="1">
      <alignment horizontal="right"/>
    </xf>
    <xf numFmtId="4" fontId="6" fillId="2" borderId="36" xfId="0" applyNumberFormat="1" applyFont="1" applyFill="1" applyBorder="1" applyAlignment="1">
      <alignment horizontal="right"/>
    </xf>
    <xf numFmtId="164" fontId="6" fillId="2" borderId="29" xfId="43" applyNumberFormat="1" applyFont="1" applyFill="1" applyBorder="1" applyAlignment="1">
      <alignment horizontal="center"/>
    </xf>
    <xf numFmtId="164" fontId="6" fillId="2" borderId="30" xfId="43" applyNumberFormat="1" applyFont="1" applyFill="1" applyBorder="1" applyAlignment="1">
      <alignment horizontal="center"/>
    </xf>
    <xf numFmtId="164" fontId="6" fillId="2" borderId="31" xfId="43" applyNumberFormat="1" applyFont="1" applyFill="1" applyBorder="1" applyAlignment="1">
      <alignment horizontal="center"/>
    </xf>
    <xf numFmtId="164" fontId="6" fillId="2" borderId="32" xfId="43" applyNumberFormat="1" applyFont="1" applyFill="1" applyBorder="1" applyAlignment="1">
      <alignment horizontal="center"/>
    </xf>
    <xf numFmtId="166" fontId="54" fillId="0" borderId="16" xfId="59" applyNumberFormat="1" applyFont="1" applyBorder="1" applyAlignment="1">
      <alignment horizontal="center"/>
    </xf>
    <xf numFmtId="166" fontId="54" fillId="0" borderId="17" xfId="59" applyNumberFormat="1" applyFont="1" applyBorder="1" applyAlignment="1">
      <alignment horizontal="center"/>
    </xf>
    <xf numFmtId="2" fontId="6" fillId="2" borderId="33" xfId="59" applyNumberFormat="1" applyFont="1" applyFill="1" applyBorder="1" applyAlignment="1">
      <alignment horizontal="right" vertical="center"/>
    </xf>
    <xf numFmtId="2" fontId="6" fillId="2" borderId="34" xfId="59" applyNumberFormat="1" applyFont="1" applyFill="1" applyBorder="1" applyAlignment="1">
      <alignment horizontal="right" vertical="center"/>
    </xf>
    <xf numFmtId="2" fontId="6" fillId="2" borderId="35" xfId="59" applyNumberFormat="1" applyFont="1" applyFill="1" applyBorder="1" applyAlignment="1">
      <alignment horizontal="right" vertical="center"/>
    </xf>
    <xf numFmtId="2" fontId="6" fillId="2" borderId="36" xfId="59" applyNumberFormat="1" applyFont="1" applyFill="1" applyBorder="1" applyAlignment="1">
      <alignment horizontal="right" vertical="center"/>
    </xf>
    <xf numFmtId="0" fontId="56" fillId="37" borderId="27" xfId="0" applyFont="1" applyFill="1" applyBorder="1" applyAlignment="1">
      <alignment horizontal="left" vertical="center"/>
    </xf>
    <xf numFmtId="0" fontId="0" fillId="36" borderId="16" xfId="0" applyFill="1" applyBorder="1" applyAlignment="1">
      <alignment/>
    </xf>
    <xf numFmtId="0" fontId="0" fillId="36" borderId="0" xfId="0" applyFill="1" applyBorder="1" applyAlignment="1">
      <alignment/>
    </xf>
    <xf numFmtId="0" fontId="0" fillId="36" borderId="17" xfId="0" applyFill="1" applyBorder="1" applyAlignment="1">
      <alignment/>
    </xf>
    <xf numFmtId="0" fontId="0" fillId="36" borderId="0" xfId="0" applyFill="1" applyAlignment="1">
      <alignment/>
    </xf>
    <xf numFmtId="0" fontId="0" fillId="14" borderId="37" xfId="0" applyFill="1" applyBorder="1" applyAlignment="1">
      <alignment/>
    </xf>
    <xf numFmtId="0" fontId="5" fillId="14" borderId="37" xfId="0" applyFont="1" applyFill="1" applyBorder="1" applyAlignment="1">
      <alignment/>
    </xf>
    <xf numFmtId="0" fontId="0" fillId="2" borderId="0" xfId="0" applyFill="1" applyAlignment="1">
      <alignment/>
    </xf>
    <xf numFmtId="0" fontId="57" fillId="2" borderId="0" xfId="0" applyFont="1" applyFill="1" applyAlignment="1">
      <alignment/>
    </xf>
    <xf numFmtId="0" fontId="0" fillId="33" borderId="0" xfId="0" applyFill="1" applyAlignment="1">
      <alignment/>
    </xf>
    <xf numFmtId="0" fontId="6" fillId="33" borderId="13" xfId="0" applyFont="1" applyFill="1" applyBorder="1" applyAlignment="1">
      <alignment/>
    </xf>
    <xf numFmtId="0" fontId="16" fillId="36" borderId="16" xfId="0" applyFont="1" applyFill="1" applyBorder="1" applyAlignment="1" applyProtection="1">
      <alignment/>
      <protection/>
    </xf>
    <xf numFmtId="0" fontId="57" fillId="36" borderId="0" xfId="0" applyFont="1" applyFill="1" applyAlignment="1">
      <alignment/>
    </xf>
    <xf numFmtId="0" fontId="57" fillId="36" borderId="0" xfId="0" applyFont="1" applyFill="1" applyAlignment="1">
      <alignment/>
    </xf>
    <xf numFmtId="0" fontId="0" fillId="4" borderId="0" xfId="0" applyFill="1" applyAlignment="1">
      <alignment/>
    </xf>
    <xf numFmtId="0" fontId="57" fillId="4" borderId="0" xfId="0" applyFont="1" applyFill="1" applyAlignment="1">
      <alignment/>
    </xf>
    <xf numFmtId="0" fontId="0" fillId="2" borderId="0" xfId="0" applyFill="1" applyAlignment="1">
      <alignment vertical="center"/>
    </xf>
    <xf numFmtId="0" fontId="0" fillId="36" borderId="37" xfId="0" applyFill="1" applyBorder="1" applyAlignment="1">
      <alignment/>
    </xf>
    <xf numFmtId="0" fontId="0" fillId="14" borderId="37" xfId="0" applyFill="1" applyBorder="1" applyAlignment="1">
      <alignment/>
    </xf>
    <xf numFmtId="0" fontId="57" fillId="36" borderId="16" xfId="0" applyFont="1" applyFill="1" applyBorder="1" applyAlignment="1" applyProtection="1">
      <alignment/>
      <protection/>
    </xf>
    <xf numFmtId="0" fontId="57" fillId="36" borderId="0" xfId="0" applyFont="1" applyFill="1" applyBorder="1" applyAlignment="1">
      <alignment/>
    </xf>
    <xf numFmtId="0" fontId="6" fillId="36" borderId="16" xfId="15" applyFont="1" applyFill="1" applyBorder="1" applyAlignment="1" applyProtection="1">
      <alignment/>
      <protection/>
    </xf>
    <xf numFmtId="0" fontId="0" fillId="36" borderId="38" xfId="0" applyFill="1" applyBorder="1" applyAlignment="1">
      <alignment/>
    </xf>
    <xf numFmtId="0" fontId="57" fillId="36" borderId="16" xfId="0" applyFont="1" applyFill="1" applyBorder="1" applyAlignment="1">
      <alignment/>
    </xf>
    <xf numFmtId="0" fontId="0" fillId="2" borderId="0" xfId="0" applyFill="1" applyBorder="1" applyAlignment="1">
      <alignment/>
    </xf>
    <xf numFmtId="0" fontId="57" fillId="33" borderId="0" xfId="0" applyFont="1" applyFill="1" applyAlignment="1">
      <alignment/>
    </xf>
    <xf numFmtId="0" fontId="58" fillId="37" borderId="28" xfId="0" applyFont="1" applyFill="1" applyBorder="1" applyAlignment="1">
      <alignment horizontal="center" vertical="center"/>
    </xf>
    <xf numFmtId="0" fontId="38" fillId="35" borderId="11" xfId="0" applyFont="1" applyFill="1" applyBorder="1" applyAlignment="1">
      <alignment/>
    </xf>
    <xf numFmtId="164" fontId="6" fillId="2" borderId="13" xfId="43" applyNumberFormat="1" applyFont="1" applyFill="1" applyBorder="1" applyAlignment="1">
      <alignment/>
    </xf>
    <xf numFmtId="164" fontId="6" fillId="33" borderId="13" xfId="43" applyNumberFormat="1" applyFont="1" applyFill="1" applyBorder="1" applyAlignment="1">
      <alignment/>
    </xf>
    <xf numFmtId="164" fontId="6" fillId="36" borderId="13" xfId="43" applyNumberFormat="1" applyFont="1" applyFill="1" applyBorder="1" applyAlignment="1">
      <alignment/>
    </xf>
    <xf numFmtId="164" fontId="6" fillId="0" borderId="13" xfId="43" applyNumberFormat="1" applyFont="1" applyFill="1" applyBorder="1" applyAlignment="1">
      <alignment/>
    </xf>
    <xf numFmtId="164" fontId="6" fillId="4" borderId="13" xfId="43" applyNumberFormat="1" applyFont="1" applyFill="1" applyBorder="1" applyAlignment="1">
      <alignment/>
    </xf>
    <xf numFmtId="166" fontId="6" fillId="2" borderId="13" xfId="43" applyNumberFormat="1" applyFont="1" applyFill="1" applyBorder="1" applyAlignment="1">
      <alignment/>
    </xf>
    <xf numFmtId="10" fontId="6" fillId="2" borderId="13" xfId="59" applyNumberFormat="1" applyFont="1" applyFill="1" applyBorder="1" applyAlignment="1">
      <alignment/>
    </xf>
    <xf numFmtId="0" fontId="0" fillId="0" borderId="18" xfId="0" applyBorder="1" applyAlignment="1">
      <alignment horizontal="center"/>
    </xf>
    <xf numFmtId="0" fontId="0" fillId="0" borderId="15" xfId="0" applyBorder="1" applyAlignment="1">
      <alignment/>
    </xf>
    <xf numFmtId="0" fontId="0" fillId="0" borderId="12" xfId="0" applyBorder="1" applyAlignment="1">
      <alignment horizontal="center"/>
    </xf>
    <xf numFmtId="164" fontId="6" fillId="2" borderId="28" xfId="43" applyNumberFormat="1" applyFont="1" applyFill="1" applyBorder="1" applyAlignment="1">
      <alignment/>
    </xf>
    <xf numFmtId="164" fontId="6" fillId="33" borderId="17" xfId="43" applyNumberFormat="1" applyFont="1" applyFill="1" applyBorder="1" applyAlignment="1">
      <alignment/>
    </xf>
    <xf numFmtId="164" fontId="6" fillId="2" borderId="32" xfId="43" applyNumberFormat="1" applyFont="1" applyFill="1" applyBorder="1" applyAlignment="1">
      <alignment/>
    </xf>
    <xf numFmtId="0" fontId="0" fillId="0" borderId="0" xfId="0" applyAlignment="1">
      <alignment/>
    </xf>
    <xf numFmtId="0" fontId="6" fillId="0" borderId="13" xfId="0" applyFont="1" applyFill="1" applyBorder="1" applyAlignment="1">
      <alignment/>
    </xf>
    <xf numFmtId="0" fontId="6" fillId="2" borderId="13" xfId="0" applyFont="1" applyFill="1" applyBorder="1" applyAlignment="1">
      <alignment/>
    </xf>
    <xf numFmtId="0" fontId="6" fillId="0" borderId="17" xfId="0" applyFont="1" applyFill="1" applyBorder="1" applyAlignment="1">
      <alignment/>
    </xf>
    <xf numFmtId="0" fontId="6" fillId="4" borderId="13" xfId="0" applyFont="1" applyFill="1" applyBorder="1" applyAlignment="1">
      <alignment/>
    </xf>
    <xf numFmtId="0" fontId="6" fillId="2" borderId="13" xfId="0" applyFont="1" applyFill="1" applyBorder="1" applyAlignment="1">
      <alignment vertical="center"/>
    </xf>
    <xf numFmtId="0" fontId="6" fillId="33" borderId="13" xfId="0" applyFont="1" applyFill="1" applyBorder="1" applyAlignment="1">
      <alignment/>
    </xf>
    <xf numFmtId="0" fontId="6" fillId="4" borderId="16" xfId="0" applyFont="1" applyFill="1" applyBorder="1" applyAlignment="1">
      <alignment/>
    </xf>
    <xf numFmtId="0" fontId="6" fillId="36" borderId="13" xfId="0" applyFont="1" applyFill="1" applyBorder="1" applyAlignment="1">
      <alignment/>
    </xf>
    <xf numFmtId="0" fontId="6" fillId="33" borderId="12" xfId="0" applyFont="1" applyFill="1" applyBorder="1" applyAlignment="1">
      <alignment/>
    </xf>
    <xf numFmtId="0" fontId="58" fillId="37" borderId="28" xfId="0" applyFont="1" applyFill="1" applyBorder="1" applyAlignment="1">
      <alignment horizontal="left" vertical="center"/>
    </xf>
    <xf numFmtId="164" fontId="6" fillId="36" borderId="17" xfId="43" applyNumberFormat="1" applyFont="1" applyFill="1" applyBorder="1" applyAlignment="1">
      <alignment/>
    </xf>
    <xf numFmtId="164" fontId="6" fillId="2" borderId="17" xfId="43" applyNumberFormat="1" applyFont="1" applyFill="1" applyBorder="1" applyAlignment="1">
      <alignment/>
    </xf>
    <xf numFmtId="164" fontId="6" fillId="0" borderId="17" xfId="43" applyNumberFormat="1" applyFont="1" applyFill="1" applyBorder="1" applyAlignment="1">
      <alignment/>
    </xf>
    <xf numFmtId="164" fontId="6" fillId="4" borderId="17" xfId="43" applyNumberFormat="1" applyFont="1" applyFill="1" applyBorder="1" applyAlignment="1">
      <alignment/>
    </xf>
    <xf numFmtId="166" fontId="6" fillId="2" borderId="17" xfId="43" applyNumberFormat="1" applyFont="1" applyFill="1" applyBorder="1" applyAlignment="1">
      <alignment/>
    </xf>
    <xf numFmtId="10" fontId="6" fillId="2" borderId="17" xfId="59" applyNumberFormat="1" applyFont="1" applyFill="1" applyBorder="1" applyAlignment="1">
      <alignment/>
    </xf>
    <xf numFmtId="0" fontId="6" fillId="36" borderId="17" xfId="0" applyFont="1" applyFill="1" applyBorder="1" applyAlignment="1">
      <alignment/>
    </xf>
    <xf numFmtId="0" fontId="6" fillId="2" borderId="9" xfId="0" applyFont="1" applyFill="1" applyBorder="1" applyAlignment="1">
      <alignment vertical="center"/>
    </xf>
    <xf numFmtId="0" fontId="6" fillId="33" borderId="16" xfId="0" applyFont="1" applyFill="1" applyBorder="1" applyAlignment="1">
      <alignment/>
    </xf>
    <xf numFmtId="0" fontId="0" fillId="0" borderId="16" xfId="0" applyBorder="1" applyAlignment="1">
      <alignment horizontal="left"/>
    </xf>
    <xf numFmtId="0" fontId="6" fillId="2" borderId="16" xfId="0" applyFont="1" applyFill="1" applyBorder="1" applyAlignment="1">
      <alignment vertical="center"/>
    </xf>
    <xf numFmtId="164" fontId="6" fillId="33" borderId="12" xfId="43" applyNumberFormat="1" applyFont="1" applyFill="1" applyBorder="1" applyAlignment="1">
      <alignment/>
    </xf>
    <xf numFmtId="0" fontId="38" fillId="0" borderId="9" xfId="0" applyFont="1" applyFill="1" applyBorder="1" applyAlignment="1">
      <alignment/>
    </xf>
    <xf numFmtId="165" fontId="38" fillId="0" borderId="9" xfId="0" applyNumberFormat="1" applyFont="1" applyFill="1" applyBorder="1" applyAlignment="1">
      <alignment horizontal="center"/>
    </xf>
    <xf numFmtId="165" fontId="38" fillId="0" borderId="26" xfId="0" applyNumberFormat="1" applyFont="1" applyFill="1" applyBorder="1" applyAlignment="1">
      <alignment horizontal="center"/>
    </xf>
    <xf numFmtId="0" fontId="35" fillId="0" borderId="0" xfId="0" applyFont="1" applyFill="1" applyAlignment="1">
      <alignment/>
    </xf>
    <xf numFmtId="166" fontId="6" fillId="2" borderId="13" xfId="0" applyNumberFormat="1" applyFont="1" applyFill="1" applyBorder="1" applyAlignment="1">
      <alignment vertical="center"/>
    </xf>
    <xf numFmtId="166" fontId="6" fillId="2" borderId="17" xfId="0" applyNumberFormat="1" applyFont="1" applyFill="1" applyBorder="1" applyAlignment="1">
      <alignment vertical="center"/>
    </xf>
    <xf numFmtId="164" fontId="6" fillId="2" borderId="28" xfId="43" applyNumberFormat="1" applyFont="1" applyFill="1" applyBorder="1" applyAlignment="1">
      <alignment vertical="center"/>
    </xf>
    <xf numFmtId="10" fontId="6" fillId="33" borderId="17" xfId="59" applyNumberFormat="1" applyFont="1" applyFill="1" applyBorder="1" applyAlignment="1">
      <alignment/>
    </xf>
    <xf numFmtId="10" fontId="6" fillId="33" borderId="13" xfId="59" applyNumberFormat="1" applyFont="1" applyFill="1" applyBorder="1" applyAlignment="1">
      <alignment/>
    </xf>
    <xf numFmtId="0" fontId="6" fillId="0" borderId="16" xfId="0" applyFont="1" applyFill="1" applyBorder="1" applyAlignment="1">
      <alignment/>
    </xf>
    <xf numFmtId="164" fontId="6" fillId="0" borderId="19" xfId="43" applyNumberFormat="1" applyFont="1" applyFill="1" applyBorder="1" applyAlignment="1" quotePrefix="1">
      <alignment horizontal="right"/>
    </xf>
    <xf numFmtId="164" fontId="6" fillId="0" borderId="21" xfId="43" applyNumberFormat="1" applyFont="1" applyFill="1" applyBorder="1" applyAlignment="1" quotePrefix="1">
      <alignment horizontal="right"/>
    </xf>
    <xf numFmtId="166" fontId="54" fillId="0" borderId="16" xfId="0" applyNumberFormat="1" applyFont="1" applyBorder="1" applyAlignment="1">
      <alignment/>
    </xf>
    <xf numFmtId="166" fontId="54" fillId="0" borderId="17" xfId="0" applyNumberFormat="1" applyFont="1" applyBorder="1" applyAlignment="1">
      <alignment/>
    </xf>
    <xf numFmtId="164" fontId="6" fillId="0" borderId="39" xfId="43" applyNumberFormat="1" applyFont="1" applyFill="1" applyBorder="1" applyAlignment="1">
      <alignment horizontal="right"/>
    </xf>
    <xf numFmtId="0" fontId="51" fillId="0" borderId="26" xfId="0" applyFont="1" applyBorder="1" applyAlignment="1">
      <alignment/>
    </xf>
    <xf numFmtId="0" fontId="53" fillId="35" borderId="13" xfId="0" applyFont="1" applyFill="1" applyBorder="1" applyAlignment="1">
      <alignment/>
    </xf>
    <xf numFmtId="0" fontId="13" fillId="34" borderId="40" xfId="0" applyFont="1" applyFill="1" applyBorder="1" applyAlignment="1">
      <alignment horizontal="center" vertical="center"/>
    </xf>
    <xf numFmtId="0" fontId="54" fillId="0" borderId="0" xfId="0" applyFont="1" applyFill="1" applyBorder="1" applyAlignment="1">
      <alignment/>
    </xf>
    <xf numFmtId="0" fontId="51" fillId="0" borderId="18" xfId="0" applyFont="1" applyBorder="1" applyAlignment="1">
      <alignment/>
    </xf>
    <xf numFmtId="0" fontId="10" fillId="34" borderId="14" xfId="0" applyFont="1" applyFill="1" applyBorder="1" applyAlignment="1">
      <alignment horizontal="left"/>
    </xf>
    <xf numFmtId="0" fontId="10" fillId="34" borderId="41" xfId="0" applyFont="1" applyFill="1" applyBorder="1" applyAlignment="1">
      <alignment horizontal="left"/>
    </xf>
    <xf numFmtId="165" fontId="53" fillId="35" borderId="11" xfId="0" applyNumberFormat="1" applyFont="1" applyFill="1" applyBorder="1" applyAlignment="1">
      <alignment horizontal="center"/>
    </xf>
    <xf numFmtId="165" fontId="53" fillId="35" borderId="14" xfId="0" applyNumberFormat="1" applyFont="1" applyFill="1" applyBorder="1" applyAlignment="1">
      <alignment horizontal="center"/>
    </xf>
    <xf numFmtId="165" fontId="53" fillId="35" borderId="41" xfId="0" applyNumberFormat="1" applyFont="1" applyFill="1" applyBorder="1" applyAlignment="1">
      <alignment horizontal="center"/>
    </xf>
    <xf numFmtId="0" fontId="53" fillId="35" borderId="11" xfId="0" applyFont="1" applyFill="1" applyBorder="1" applyAlignment="1">
      <alignment horizontal="center" vertical="center"/>
    </xf>
    <xf numFmtId="0" fontId="53" fillId="35" borderId="14" xfId="0" applyFont="1" applyFill="1" applyBorder="1" applyAlignment="1">
      <alignment horizontal="center" vertical="center"/>
    </xf>
    <xf numFmtId="0" fontId="10" fillId="34" borderId="11" xfId="0" applyFont="1" applyFill="1" applyBorder="1" applyAlignment="1">
      <alignment horizontal="left" vertical="center"/>
    </xf>
    <xf numFmtId="0" fontId="10" fillId="34" borderId="14" xfId="0" applyFont="1" applyFill="1" applyBorder="1" applyAlignment="1">
      <alignment horizontal="left" vertical="center"/>
    </xf>
    <xf numFmtId="0" fontId="10" fillId="34" borderId="41" xfId="0" applyFont="1" applyFill="1" applyBorder="1" applyAlignment="1">
      <alignment horizontal="left" vertical="center"/>
    </xf>
    <xf numFmtId="0" fontId="5" fillId="34" borderId="11" xfId="0" applyFont="1" applyFill="1" applyBorder="1" applyAlignment="1">
      <alignment horizontal="left"/>
    </xf>
    <xf numFmtId="0" fontId="5" fillId="34" borderId="14" xfId="0" applyFont="1" applyFill="1" applyBorder="1" applyAlignment="1">
      <alignment horizontal="left"/>
    </xf>
    <xf numFmtId="165" fontId="38" fillId="35" borderId="11" xfId="0" applyNumberFormat="1" applyFont="1" applyFill="1" applyBorder="1" applyAlignment="1">
      <alignment horizontal="center"/>
    </xf>
    <xf numFmtId="165" fontId="38" fillId="35" borderId="14" xfId="0" applyNumberFormat="1" applyFont="1" applyFill="1" applyBorder="1" applyAlignment="1">
      <alignment horizontal="center"/>
    </xf>
    <xf numFmtId="0" fontId="57" fillId="2" borderId="16" xfId="0" applyFont="1" applyFill="1" applyBorder="1" applyAlignment="1" applyProtection="1">
      <alignment/>
      <protection/>
    </xf>
    <xf numFmtId="0" fontId="57" fillId="2" borderId="0" xfId="0" applyFont="1" applyFill="1" applyAlignment="1">
      <alignment/>
    </xf>
    <xf numFmtId="0" fontId="57" fillId="4" borderId="16" xfId="0" applyFont="1" applyFill="1" applyBorder="1" applyAlignment="1" applyProtection="1">
      <alignment/>
      <protection/>
    </xf>
    <xf numFmtId="0" fontId="57" fillId="0" borderId="0" xfId="0" applyFont="1" applyAlignment="1">
      <alignment/>
    </xf>
    <xf numFmtId="0" fontId="57" fillId="33" borderId="16" xfId="0" applyFont="1" applyFill="1" applyBorder="1" applyAlignment="1">
      <alignment/>
    </xf>
    <xf numFmtId="0" fontId="57" fillId="33" borderId="0" xfId="0" applyFont="1" applyFill="1" applyAlignment="1">
      <alignment/>
    </xf>
    <xf numFmtId="0" fontId="16" fillId="4" borderId="16" xfId="0" applyFont="1" applyFill="1" applyBorder="1" applyAlignment="1" applyProtection="1">
      <alignment/>
      <protection/>
    </xf>
    <xf numFmtId="0" fontId="57" fillId="2" borderId="42" xfId="0" applyFont="1" applyFill="1" applyBorder="1" applyAlignment="1">
      <alignment wrapText="1"/>
    </xf>
    <xf numFmtId="0" fontId="0" fillId="0" borderId="43" xfId="0" applyBorder="1" applyAlignment="1">
      <alignment wrapText="1"/>
    </xf>
    <xf numFmtId="0" fontId="6" fillId="33" borderId="16" xfId="15" applyFont="1" applyFill="1" applyBorder="1" applyAlignment="1" applyProtection="1">
      <alignment/>
      <protection/>
    </xf>
    <xf numFmtId="0" fontId="6" fillId="2" borderId="16" xfId="15" applyFont="1" applyFill="1" applyBorder="1" applyAlignment="1" applyProtection="1">
      <alignment wrapText="1"/>
      <protection/>
    </xf>
    <xf numFmtId="0" fontId="0" fillId="0" borderId="0" xfId="0" applyAlignment="1">
      <alignment wrapText="1"/>
    </xf>
    <xf numFmtId="0" fontId="57" fillId="2" borderId="42" xfId="0" applyFont="1" applyFill="1" applyBorder="1" applyAlignment="1">
      <alignment/>
    </xf>
    <xf numFmtId="0" fontId="51" fillId="0" borderId="43" xfId="0" applyFont="1" applyBorder="1" applyAlignment="1">
      <alignment/>
    </xf>
    <xf numFmtId="0" fontId="57" fillId="4" borderId="16" xfId="0" applyFont="1" applyFill="1" applyBorder="1" applyAlignment="1">
      <alignment/>
    </xf>
    <xf numFmtId="0" fontId="57" fillId="2" borderId="42" xfId="0" applyFont="1" applyFill="1" applyBorder="1" applyAlignment="1" applyProtection="1">
      <alignment/>
      <protection/>
    </xf>
    <xf numFmtId="0" fontId="57" fillId="0" borderId="43" xfId="0" applyFont="1" applyBorder="1" applyAlignment="1">
      <alignment/>
    </xf>
    <xf numFmtId="0" fontId="57" fillId="33" borderId="16" xfId="0" applyFont="1" applyFill="1" applyBorder="1" applyAlignment="1" applyProtection="1">
      <alignment/>
      <protection/>
    </xf>
    <xf numFmtId="0" fontId="57" fillId="2" borderId="16" xfId="0" applyFont="1" applyFill="1" applyBorder="1" applyAlignment="1" applyProtection="1">
      <alignment horizontal="left" vertical="center" wrapText="1"/>
      <protection/>
    </xf>
    <xf numFmtId="0" fontId="57" fillId="2" borderId="0" xfId="0" applyFont="1" applyFill="1" applyAlignment="1" applyProtection="1">
      <alignment horizontal="left" vertical="center" wrapText="1"/>
      <protection/>
    </xf>
    <xf numFmtId="0" fontId="57" fillId="2" borderId="43" xfId="0" applyFont="1" applyFill="1" applyBorder="1" applyAlignment="1">
      <alignment/>
    </xf>
    <xf numFmtId="0" fontId="6" fillId="2" borderId="16" xfId="0" applyFont="1" applyFill="1" applyBorder="1" applyAlignment="1" applyProtection="1">
      <alignment/>
      <protection/>
    </xf>
    <xf numFmtId="0" fontId="6" fillId="4" borderId="16" xfId="15" applyFont="1" applyFill="1" applyBorder="1" applyAlignment="1" applyProtection="1">
      <alignment/>
      <protection/>
    </xf>
    <xf numFmtId="0" fontId="57" fillId="4" borderId="0" xfId="0" applyFont="1" applyFill="1" applyAlignment="1">
      <alignment/>
    </xf>
    <xf numFmtId="0" fontId="57" fillId="2" borderId="16" xfId="0" applyFont="1" applyFill="1" applyBorder="1" applyAlignment="1">
      <alignment/>
    </xf>
    <xf numFmtId="0" fontId="51" fillId="0" borderId="0" xfId="0" applyFont="1" applyAlignment="1">
      <alignment/>
    </xf>
    <xf numFmtId="0" fontId="16" fillId="33" borderId="16" xfId="0" applyFont="1" applyFill="1" applyBorder="1" applyAlignment="1" applyProtection="1">
      <alignment/>
      <protection/>
    </xf>
    <xf numFmtId="0" fontId="59" fillId="38" borderId="16" xfId="0" applyFont="1" applyFill="1" applyBorder="1" applyAlignment="1">
      <alignment horizontal="left" vertical="center" wrapText="1"/>
    </xf>
    <xf numFmtId="0" fontId="59" fillId="38" borderId="0" xfId="0" applyFont="1" applyFill="1" applyAlignment="1">
      <alignment horizontal="left" vertical="center" wrapText="1"/>
    </xf>
    <xf numFmtId="0" fontId="0" fillId="33" borderId="15" xfId="0" applyNumberFormat="1" applyFill="1" applyBorder="1" applyAlignment="1">
      <alignment wrapText="1"/>
    </xf>
    <xf numFmtId="0" fontId="0" fillId="33" borderId="18" xfId="0" applyFill="1" applyBorder="1" applyAlignment="1">
      <alignment wrapText="1"/>
    </xf>
    <xf numFmtId="0" fontId="0" fillId="33" borderId="36" xfId="0" applyFill="1" applyBorder="1" applyAlignment="1">
      <alignment wrapText="1"/>
    </xf>
    <xf numFmtId="0" fontId="60" fillId="37" borderId="9" xfId="0" applyFont="1" applyFill="1" applyBorder="1" applyAlignment="1">
      <alignment/>
    </xf>
    <xf numFmtId="0" fontId="35" fillId="37" borderId="26" xfId="0" applyFont="1" applyFill="1" applyBorder="1" applyAlignment="1">
      <alignment/>
    </xf>
    <xf numFmtId="0" fontId="35" fillId="37" borderId="32" xfId="0" applyFont="1" applyFill="1" applyBorder="1" applyAlignment="1">
      <alignment/>
    </xf>
    <xf numFmtId="0" fontId="0" fillId="33" borderId="16" xfId="0" applyFill="1" applyBorder="1" applyAlignment="1">
      <alignment vertical="center" wrapText="1"/>
    </xf>
    <xf numFmtId="0" fontId="0" fillId="33" borderId="0" xfId="0" applyFill="1" applyBorder="1" applyAlignment="1">
      <alignment vertical="center" wrapText="1"/>
    </xf>
    <xf numFmtId="0" fontId="0" fillId="33" borderId="17" xfId="0" applyFill="1" applyBorder="1" applyAlignment="1">
      <alignment vertical="center" wrapText="1"/>
    </xf>
    <xf numFmtId="0" fontId="0" fillId="33" borderId="16" xfId="0" applyNumberFormat="1" applyFill="1" applyBorder="1" applyAlignment="1">
      <alignment vertical="center" wrapText="1"/>
    </xf>
    <xf numFmtId="0" fontId="0" fillId="33" borderId="16" xfId="0" applyFill="1" applyBorder="1" applyAlignment="1">
      <alignment/>
    </xf>
    <xf numFmtId="0" fontId="0" fillId="33" borderId="0" xfId="0" applyFill="1" applyBorder="1" applyAlignment="1">
      <alignment/>
    </xf>
    <xf numFmtId="0" fontId="0" fillId="33" borderId="17" xfId="0" applyFill="1" applyBorder="1" applyAlignment="1">
      <alignment/>
    </xf>
  </cellXfs>
  <cellStyles count="51">
    <cellStyle name="Normal" xfId="0"/>
    <cellStyle name="RowLevel_0" xfId="1"/>
    <cellStyle name="%"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Style 1"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X189"/>
  <sheetViews>
    <sheetView tabSelected="1" view="pageBreakPreview" zoomScale="80" zoomScaleNormal="80" zoomScaleSheetLayoutView="80" zoomScalePageLayoutView="0" workbookViewId="0" topLeftCell="D4">
      <pane xSplit="3" topLeftCell="Q1" activePane="topRight" state="frozen"/>
      <selection pane="topLeft" activeCell="D1" sqref="D1"/>
      <selection pane="topRight" activeCell="U10" sqref="U10"/>
    </sheetView>
  </sheetViews>
  <sheetFormatPr defaultColWidth="9.140625" defaultRowHeight="15"/>
  <cols>
    <col min="1" max="1" width="45.8515625" style="9" hidden="1" customWidth="1"/>
    <col min="2" max="2" width="43.00390625" style="9" hidden="1" customWidth="1"/>
    <col min="3" max="3" width="60.57421875" style="9" hidden="1" customWidth="1"/>
    <col min="4" max="4" width="60.57421875" style="9" bestFit="1" customWidth="1"/>
    <col min="5" max="5" width="9.140625" style="9" hidden="1" customWidth="1"/>
    <col min="6" max="6" width="14.140625" style="9" hidden="1" customWidth="1"/>
    <col min="7" max="8" width="22.28125" style="9" bestFit="1" customWidth="1"/>
    <col min="9" max="10" width="20.7109375" style="9" bestFit="1" customWidth="1"/>
    <col min="11" max="12" width="22.28125" style="9" bestFit="1" customWidth="1"/>
    <col min="13" max="14" width="20.7109375" style="9" bestFit="1" customWidth="1"/>
    <col min="15" max="16" width="22.28125" style="9" bestFit="1" customWidth="1"/>
    <col min="17" max="17" width="20.7109375" style="9" bestFit="1" customWidth="1"/>
    <col min="18" max="20" width="22.28125" style="9" bestFit="1" customWidth="1"/>
    <col min="21" max="22" width="20.7109375" style="9" bestFit="1" customWidth="1"/>
    <col min="23" max="23" width="22.28125" style="9" bestFit="1" customWidth="1"/>
    <col min="24" max="24" width="14.8515625" style="9" bestFit="1" customWidth="1"/>
    <col min="25" max="16384" width="9.140625" style="9" customWidth="1"/>
  </cols>
  <sheetData>
    <row r="1" spans="3:24" ht="15" thickBot="1">
      <c r="C1" s="61"/>
      <c r="D1" s="63" t="s">
        <v>179</v>
      </c>
      <c r="E1" s="247"/>
      <c r="F1" s="247"/>
      <c r="G1" s="254"/>
      <c r="H1" s="255"/>
      <c r="I1" s="255"/>
      <c r="J1" s="255"/>
      <c r="K1" s="255"/>
      <c r="L1" s="255"/>
      <c r="M1" s="255"/>
      <c r="N1" s="255"/>
      <c r="O1" s="255"/>
      <c r="P1" s="255"/>
      <c r="Q1" s="255"/>
      <c r="R1" s="255"/>
      <c r="S1" s="255"/>
      <c r="T1" s="255"/>
      <c r="U1" s="255"/>
      <c r="V1" s="255"/>
      <c r="W1" s="255"/>
      <c r="X1" s="256"/>
    </row>
    <row r="2" spans="2:24" ht="15.75" customHeight="1" hidden="1">
      <c r="B2" s="62"/>
      <c r="C2" s="62"/>
      <c r="D2" s="248"/>
      <c r="E2" s="25"/>
      <c r="F2" s="25"/>
      <c r="G2" s="25">
        <v>1</v>
      </c>
      <c r="H2" s="25">
        <v>2</v>
      </c>
      <c r="I2" s="25">
        <v>3</v>
      </c>
      <c r="J2" s="25">
        <v>4</v>
      </c>
      <c r="K2" s="25">
        <v>5</v>
      </c>
      <c r="L2" s="25">
        <v>6</v>
      </c>
      <c r="M2" s="25">
        <v>7</v>
      </c>
      <c r="N2" s="25">
        <v>8</v>
      </c>
      <c r="O2" s="25">
        <v>9</v>
      </c>
      <c r="P2" s="25">
        <v>10</v>
      </c>
      <c r="Q2" s="25">
        <v>11</v>
      </c>
      <c r="R2" s="25">
        <v>12</v>
      </c>
      <c r="S2" s="25">
        <v>13</v>
      </c>
      <c r="T2" s="25">
        <v>14</v>
      </c>
      <c r="U2" s="25">
        <v>15</v>
      </c>
      <c r="V2" s="25">
        <v>16</v>
      </c>
      <c r="W2" s="25">
        <v>17</v>
      </c>
      <c r="X2" s="26">
        <v>18</v>
      </c>
    </row>
    <row r="3" spans="4:24" ht="15" hidden="1" thickBot="1">
      <c r="D3" s="24"/>
      <c r="E3" s="25">
        <f>B4</f>
        <v>2010</v>
      </c>
      <c r="F3" s="25" t="str">
        <f>"[Q4 "&amp;E3-1&amp;"]"</f>
        <v>[Q4 2009]</v>
      </c>
      <c r="G3" s="25" t="str">
        <f>"["&amp;G4&amp;"]"</f>
        <v>[Q1 2010]</v>
      </c>
      <c r="H3" s="25" t="str">
        <f aca="true" t="shared" si="0" ref="H3:X3">"["&amp;H4&amp;"]"</f>
        <v>[Q2 2010]</v>
      </c>
      <c r="I3" s="25" t="str">
        <f t="shared" si="0"/>
        <v>[Q3 2010]</v>
      </c>
      <c r="J3" s="25" t="str">
        <f t="shared" si="0"/>
        <v>[Q4 2010]</v>
      </c>
      <c r="K3" s="25" t="str">
        <f t="shared" si="0"/>
        <v>[Q1 2011]</v>
      </c>
      <c r="L3" s="25" t="str">
        <f t="shared" si="0"/>
        <v>[Q2 2011]</v>
      </c>
      <c r="M3" s="25" t="str">
        <f t="shared" si="0"/>
        <v>[Q3 2011]</v>
      </c>
      <c r="N3" s="25" t="str">
        <f t="shared" si="0"/>
        <v>[Q4 2011]</v>
      </c>
      <c r="O3" s="25" t="str">
        <f t="shared" si="0"/>
        <v>[Q1 2012]</v>
      </c>
      <c r="P3" s="25" t="str">
        <f t="shared" si="0"/>
        <v>[Q2 2012]</v>
      </c>
      <c r="Q3" s="25" t="str">
        <f t="shared" si="0"/>
        <v>[Q3 2012]</v>
      </c>
      <c r="R3" s="25" t="str">
        <f t="shared" si="0"/>
        <v>[Q4 2012]</v>
      </c>
      <c r="S3" s="25" t="str">
        <f t="shared" si="0"/>
        <v>[Q1 2013]</v>
      </c>
      <c r="T3" s="25" t="str">
        <f t="shared" si="0"/>
        <v>[Q2 2013]</v>
      </c>
      <c r="U3" s="25" t="str">
        <f t="shared" si="0"/>
        <v>[Q3 2013]</v>
      </c>
      <c r="V3" s="25" t="str">
        <f t="shared" si="0"/>
        <v>[Q4 2013]</v>
      </c>
      <c r="W3" s="25" t="str">
        <f t="shared" si="0"/>
        <v>[Q1 2014]</v>
      </c>
      <c r="X3" s="26" t="str">
        <f t="shared" si="0"/>
        <v>[Q2 2014]</v>
      </c>
    </row>
    <row r="4" spans="2:24" ht="31.5" customHeight="1" thickBot="1">
      <c r="B4" s="257">
        <v>2010</v>
      </c>
      <c r="C4" s="258"/>
      <c r="D4" s="168" t="s">
        <v>0</v>
      </c>
      <c r="E4" s="25"/>
      <c r="F4" s="25" t="str">
        <f>"Q4 "&amp;E3-1</f>
        <v>Q4 2009</v>
      </c>
      <c r="G4" s="55" t="s">
        <v>220</v>
      </c>
      <c r="H4" s="56" t="s">
        <v>221</v>
      </c>
      <c r="I4" s="57" t="s">
        <v>222</v>
      </c>
      <c r="J4" s="58" t="s">
        <v>223</v>
      </c>
      <c r="K4" s="55" t="s">
        <v>224</v>
      </c>
      <c r="L4" s="56" t="s">
        <v>225</v>
      </c>
      <c r="M4" s="57" t="s">
        <v>226</v>
      </c>
      <c r="N4" s="58" t="s">
        <v>227</v>
      </c>
      <c r="O4" s="55" t="s">
        <v>228</v>
      </c>
      <c r="P4" s="56" t="s">
        <v>229</v>
      </c>
      <c r="Q4" s="57" t="s">
        <v>230</v>
      </c>
      <c r="R4" s="58" t="s">
        <v>231</v>
      </c>
      <c r="S4" s="55" t="s">
        <v>232</v>
      </c>
      <c r="T4" s="56" t="s">
        <v>233</v>
      </c>
      <c r="U4" s="57" t="s">
        <v>234</v>
      </c>
      <c r="V4" s="58" t="s">
        <v>235</v>
      </c>
      <c r="W4" s="55" t="s">
        <v>236</v>
      </c>
      <c r="X4" s="249" t="s">
        <v>237</v>
      </c>
    </row>
    <row r="5" spans="1:24" ht="20.25" thickBot="1">
      <c r="A5" s="9">
        <v>1</v>
      </c>
      <c r="C5" s="10"/>
      <c r="D5" s="1" t="s">
        <v>180</v>
      </c>
      <c r="E5" s="252"/>
      <c r="F5" s="252"/>
      <c r="G5" s="252"/>
      <c r="H5" s="252"/>
      <c r="I5" s="252"/>
      <c r="J5" s="252"/>
      <c r="K5" s="252"/>
      <c r="L5" s="252"/>
      <c r="M5" s="252"/>
      <c r="N5" s="252"/>
      <c r="O5" s="252"/>
      <c r="P5" s="252"/>
      <c r="Q5" s="252"/>
      <c r="R5" s="252"/>
      <c r="S5" s="252"/>
      <c r="T5" s="252"/>
      <c r="U5" s="252"/>
      <c r="V5" s="252"/>
      <c r="W5" s="252"/>
      <c r="X5" s="253"/>
    </row>
    <row r="6" spans="1:24" ht="15" thickBot="1">
      <c r="A6" s="9">
        <f>A5+1</f>
        <v>2</v>
      </c>
      <c r="D6" s="115" t="s">
        <v>1</v>
      </c>
      <c r="E6" s="11"/>
      <c r="F6" s="12">
        <f>_xlfn.COMPOUNDVALUE(292)</f>
        <v>422083</v>
      </c>
      <c r="G6" s="117">
        <f>_xlfn.COMPOUNDVALUE(291)</f>
        <v>434161</v>
      </c>
      <c r="H6" s="118">
        <f>_xlfn.COMPOUNDVALUE(290)</f>
        <v>439536</v>
      </c>
      <c r="I6" s="119">
        <f>_xlfn.COMPOUNDVALUE(289)</f>
        <v>455840</v>
      </c>
      <c r="J6" s="133">
        <f>_xlfn.COMPOUNDVALUE(288)</f>
        <v>455579</v>
      </c>
      <c r="K6" s="117">
        <f>_xlfn.COMPOUNDVALUE(287)</f>
        <v>463861</v>
      </c>
      <c r="L6" s="118">
        <f>_xlfn.COMPOUNDVALUE(286)</f>
        <v>491504</v>
      </c>
      <c r="M6" s="119">
        <f>_xlfn.COMPOUNDVALUE(285)</f>
        <v>525848</v>
      </c>
      <c r="N6" s="120">
        <f>_xlfn.COMPOUNDVALUE(284)</f>
        <v>521748</v>
      </c>
      <c r="O6" s="117">
        <f>_xlfn.COMPOUNDVALUE(283)</f>
        <v>521475</v>
      </c>
      <c r="P6" s="118">
        <f>_xlfn.COMPOUNDVALUE(282)</f>
        <v>542475</v>
      </c>
      <c r="Q6" s="119">
        <f>_xlfn.COMPOUNDVALUE(281)</f>
        <v>542218</v>
      </c>
      <c r="R6" s="120">
        <f>_xlfn.COMPOUNDVALUE(280)</f>
        <v>532228</v>
      </c>
      <c r="S6" s="117">
        <f>_xlfn.COMPOUNDVALUE(279)</f>
        <v>541355</v>
      </c>
      <c r="T6" s="118">
        <f>_xlfn.COMPOUNDVALUE(278)</f>
        <v>554703</v>
      </c>
      <c r="U6" s="119">
        <f>_xlfn.COMPOUNDVALUE(350)</f>
        <v>570197</v>
      </c>
      <c r="V6" s="120">
        <f>_xlfn.COMPOUNDVALUE(459)</f>
        <v>556652</v>
      </c>
      <c r="W6" s="117">
        <f>_xlfn.COMPOUNDVALUE(494)</f>
        <v>534743.9999899999</v>
      </c>
      <c r="X6" s="120">
        <f>_xlfn.COMPOUNDVALUE(516)</f>
        <v>548142</v>
      </c>
    </row>
    <row r="7" spans="1:24" s="16" customFormat="1" ht="14.25">
      <c r="A7" s="9" t="e">
        <f>#REF!+1</f>
        <v>#REF!</v>
      </c>
      <c r="B7" s="13"/>
      <c r="C7" s="13"/>
      <c r="D7" s="210" t="s">
        <v>2</v>
      </c>
      <c r="E7" s="14"/>
      <c r="F7" s="15"/>
      <c r="G7" s="51">
        <f>_xlfn.COMPOUNDVALUE(415)</f>
        <v>184313</v>
      </c>
      <c r="H7" s="52">
        <f>_xlfn.COMPOUNDVALUE(403)</f>
        <v>188088</v>
      </c>
      <c r="I7" s="53">
        <f>_xlfn.COMPOUNDVALUE(391)</f>
        <v>193173</v>
      </c>
      <c r="J7" s="136">
        <f>_xlfn.COMPOUNDVALUE(379)</f>
        <v>191876</v>
      </c>
      <c r="K7" s="51">
        <f>_xlfn.COMPOUNDVALUE(414)</f>
        <v>193930</v>
      </c>
      <c r="L7" s="52">
        <f>_xlfn.COMPOUNDVALUE(402)</f>
        <v>202553</v>
      </c>
      <c r="M7" s="53">
        <f>_xlfn.COMPOUNDVALUE(390)</f>
        <v>214455</v>
      </c>
      <c r="N7" s="54">
        <f>_xlfn.COMPOUNDVALUE(378)</f>
        <v>195333</v>
      </c>
      <c r="O7" s="51">
        <f>_xlfn.COMPOUNDVALUE(413)</f>
        <v>191389</v>
      </c>
      <c r="P7" s="52">
        <f>_xlfn.COMPOUNDVALUE(401)</f>
        <v>193157</v>
      </c>
      <c r="Q7" s="53">
        <f>_xlfn.COMPOUNDVALUE(389)</f>
        <v>195616</v>
      </c>
      <c r="R7" s="54">
        <f>_xlfn.COMPOUNDVALUE(377)</f>
        <v>191524</v>
      </c>
      <c r="S7" s="51">
        <f>_xlfn.COMPOUNDVALUE(412)</f>
        <v>194932</v>
      </c>
      <c r="T7" s="52">
        <f>_xlfn.COMPOUNDVALUE(400)</f>
        <v>201121</v>
      </c>
      <c r="U7" s="53">
        <f>_xlfn.COMPOUNDVALUE(388)</f>
        <v>205684</v>
      </c>
      <c r="V7" s="54">
        <f>_xlfn.COMPOUNDVALUE(457)</f>
        <v>205489</v>
      </c>
      <c r="W7" s="51">
        <f>_xlfn.COMPOUNDVALUE(487)</f>
        <v>210173</v>
      </c>
      <c r="X7" s="54">
        <f>_xlfn.COMPOUNDVALUE(529)</f>
        <v>213280</v>
      </c>
    </row>
    <row r="8" spans="1:24" s="16" customFormat="1" ht="14.25">
      <c r="A8" s="9" t="e">
        <f aca="true" t="shared" si="1" ref="A8:A62">A7+1</f>
        <v>#REF!</v>
      </c>
      <c r="B8" s="13"/>
      <c r="C8" s="13"/>
      <c r="D8" s="210" t="s">
        <v>3</v>
      </c>
      <c r="E8" s="14"/>
      <c r="F8" s="15"/>
      <c r="G8" s="51">
        <f>_xlfn.COMPOUNDVALUE(411)</f>
        <v>28849</v>
      </c>
      <c r="H8" s="52">
        <f>_xlfn.COMPOUNDVALUE(399)</f>
        <v>29575</v>
      </c>
      <c r="I8" s="53">
        <f>_xlfn.COMPOUNDVALUE(387)</f>
        <v>31198</v>
      </c>
      <c r="J8" s="136">
        <f>_xlfn.COMPOUNDVALUE(376)</f>
        <v>36326</v>
      </c>
      <c r="K8" s="51">
        <f>_xlfn.COMPOUNDVALUE(410)</f>
        <v>40388</v>
      </c>
      <c r="L8" s="52">
        <f>_xlfn.COMPOUNDVALUE(398)</f>
        <v>46521</v>
      </c>
      <c r="M8" s="53">
        <f>_xlfn.COMPOUNDVALUE(386)</f>
        <v>50317</v>
      </c>
      <c r="N8" s="54">
        <f>_xlfn.COMPOUNDVALUE(375)</f>
        <v>55665</v>
      </c>
      <c r="O8" s="51">
        <f>_xlfn.COMPOUNDVALUE(409)</f>
        <v>59111</v>
      </c>
      <c r="P8" s="52">
        <f>_xlfn.COMPOUNDVALUE(397)</f>
        <v>61164</v>
      </c>
      <c r="Q8" s="53">
        <f>_xlfn.COMPOUNDVALUE(385)</f>
        <v>65331</v>
      </c>
      <c r="R8" s="54">
        <f>_xlfn.COMPOUNDVALUE(374)</f>
        <v>68367</v>
      </c>
      <c r="S8" s="51">
        <f>_xlfn.COMPOUNDVALUE(408)</f>
        <v>71242</v>
      </c>
      <c r="T8" s="52">
        <f>_xlfn.COMPOUNDVALUE(396)</f>
        <v>73594</v>
      </c>
      <c r="U8" s="53">
        <f>_xlfn.COMPOUNDVALUE(384)</f>
        <v>75120</v>
      </c>
      <c r="V8" s="54">
        <f>_xlfn.COMPOUNDVALUE(456)</f>
        <v>76180</v>
      </c>
      <c r="W8" s="51">
        <f>_xlfn.COMPOUNDVALUE(486)</f>
        <v>77680</v>
      </c>
      <c r="X8" s="54">
        <f>_xlfn.COMPOUNDVALUE(528)</f>
        <v>81017</v>
      </c>
    </row>
    <row r="9" spans="1:24" s="16" customFormat="1" ht="14.25">
      <c r="A9" s="9" t="e">
        <f t="shared" si="1"/>
        <v>#REF!</v>
      </c>
      <c r="B9" s="13"/>
      <c r="C9" s="13"/>
      <c r="D9" s="210" t="s">
        <v>4</v>
      </c>
      <c r="E9" s="14"/>
      <c r="F9" s="15"/>
      <c r="G9" s="51">
        <f>_xlfn.COMPOUNDVALUE(407)</f>
        <v>213476</v>
      </c>
      <c r="H9" s="52">
        <f>_xlfn.COMPOUNDVALUE(395)</f>
        <v>213407</v>
      </c>
      <c r="I9" s="53">
        <f>_xlfn.COMPOUNDVALUE(383)</f>
        <v>221868</v>
      </c>
      <c r="J9" s="136">
        <f>_xlfn.COMPOUNDVALUE(373)</f>
        <v>217262</v>
      </c>
      <c r="K9" s="51">
        <f>_xlfn.COMPOUNDVALUE(406)</f>
        <v>219230</v>
      </c>
      <c r="L9" s="52">
        <f>_xlfn.COMPOUNDVALUE(394)</f>
        <v>231874</v>
      </c>
      <c r="M9" s="53">
        <f>_xlfn.COMPOUNDVALUE(382)</f>
        <v>250762</v>
      </c>
      <c r="N9" s="54">
        <f>_xlfn.COMPOUNDVALUE(372)</f>
        <v>259713</v>
      </c>
      <c r="O9" s="51">
        <f>_xlfn.COMPOUNDVALUE(405)</f>
        <v>259663</v>
      </c>
      <c r="P9" s="52">
        <f>_xlfn.COMPOUNDVALUE(393)</f>
        <v>276624</v>
      </c>
      <c r="Q9" s="53">
        <f>_xlfn.COMPOUNDVALUE(381)</f>
        <v>269845</v>
      </c>
      <c r="R9" s="54">
        <f>_xlfn.COMPOUNDVALUE(371)</f>
        <v>260900</v>
      </c>
      <c r="S9" s="51">
        <f>_xlfn.COMPOUNDVALUE(404)</f>
        <v>264086</v>
      </c>
      <c r="T9" s="52">
        <f>_xlfn.COMPOUNDVALUE(392)</f>
        <v>269185</v>
      </c>
      <c r="U9" s="53">
        <f>_xlfn.COMPOUNDVALUE(380)</f>
        <v>278863</v>
      </c>
      <c r="V9" s="54">
        <f>_xlfn.COMPOUNDVALUE(455)</f>
        <v>264342</v>
      </c>
      <c r="W9" s="51">
        <f>_xlfn.COMPOUNDVALUE(489)</f>
        <v>236439.99998999998</v>
      </c>
      <c r="X9" s="54">
        <f>_xlfn.COMPOUNDVALUE(527)</f>
        <v>243358</v>
      </c>
    </row>
    <row r="10" spans="1:24" s="16" customFormat="1" ht="14.25">
      <c r="A10" s="9" t="e">
        <f t="shared" si="1"/>
        <v>#REF!</v>
      </c>
      <c r="B10" s="13"/>
      <c r="C10" s="13"/>
      <c r="D10" s="210" t="s">
        <v>5</v>
      </c>
      <c r="E10" s="14"/>
      <c r="F10" s="15"/>
      <c r="G10" s="51">
        <f>_xlfn.COMPOUNDVALUE(452)</f>
        <v>7523</v>
      </c>
      <c r="H10" s="52">
        <f>_xlfn.COMPOUNDVALUE(443)</f>
        <v>8466</v>
      </c>
      <c r="I10" s="53">
        <f>_xlfn.COMPOUNDVALUE(434)</f>
        <v>8816</v>
      </c>
      <c r="J10" s="136">
        <f>_xlfn.COMPOUNDVALUE(424)</f>
        <v>9209</v>
      </c>
      <c r="K10" s="51">
        <f>_xlfn.COMPOUNDVALUE(451)</f>
        <v>9351</v>
      </c>
      <c r="L10" s="52">
        <f>_xlfn.COMPOUNDVALUE(442)</f>
        <v>9424</v>
      </c>
      <c r="M10" s="53">
        <f>_xlfn.COMPOUNDVALUE(433)</f>
        <v>9330</v>
      </c>
      <c r="N10" s="54">
        <f>_xlfn.COMPOUNDVALUE(423)</f>
        <v>10044</v>
      </c>
      <c r="O10" s="51">
        <f>_xlfn.COMPOUNDVALUE(450)</f>
        <v>10359</v>
      </c>
      <c r="P10" s="52">
        <f>_xlfn.COMPOUNDVALUE(441)</f>
        <v>10637</v>
      </c>
      <c r="Q10" s="53">
        <f>_xlfn.COMPOUNDVALUE(432)</f>
        <v>10510</v>
      </c>
      <c r="R10" s="54">
        <f>_xlfn.COMPOUNDVALUE(422)</f>
        <v>10619</v>
      </c>
      <c r="S10" s="51">
        <f>_xlfn.COMPOUNDVALUE(449)</f>
        <v>10994</v>
      </c>
      <c r="T10" s="52">
        <f>_xlfn.COMPOUNDVALUE(440)</f>
        <v>10725</v>
      </c>
      <c r="U10" s="53">
        <f>_xlfn.COMPOUNDVALUE(431)</f>
        <v>10465</v>
      </c>
      <c r="V10" s="54">
        <f>_xlfn.COMPOUNDVALUE(454)</f>
        <v>10583</v>
      </c>
      <c r="W10" s="51">
        <f>_xlfn.COMPOUNDVALUE(488)</f>
        <v>10401</v>
      </c>
      <c r="X10" s="54">
        <f>_xlfn.COMPOUNDVALUE(526)</f>
        <v>10437</v>
      </c>
    </row>
    <row r="11" spans="1:24" s="16" customFormat="1" ht="14.25">
      <c r="A11" s="9" t="e">
        <f t="shared" si="1"/>
        <v>#REF!</v>
      </c>
      <c r="B11" s="13"/>
      <c r="C11" s="13"/>
      <c r="D11" s="210" t="s">
        <v>6</v>
      </c>
      <c r="E11" s="14"/>
      <c r="F11" s="15"/>
      <c r="G11" s="51">
        <v>0</v>
      </c>
      <c r="H11" s="52">
        <v>0</v>
      </c>
      <c r="I11" s="53">
        <f>_xlfn.COMPOUNDVALUE(430)</f>
        <v>785</v>
      </c>
      <c r="J11" s="136">
        <f>_xlfn.COMPOUNDVALUE(421)</f>
        <v>741</v>
      </c>
      <c r="K11" s="51">
        <f>_xlfn.COMPOUNDVALUE(448)</f>
        <v>708</v>
      </c>
      <c r="L11" s="52">
        <f>_xlfn.COMPOUNDVALUE(439)</f>
        <v>868</v>
      </c>
      <c r="M11" s="53">
        <f>_xlfn.COMPOUNDVALUE(429)</f>
        <v>724</v>
      </c>
      <c r="N11" s="54">
        <f>_xlfn.COMPOUNDVALUE(420)</f>
        <v>712</v>
      </c>
      <c r="O11" s="51">
        <f>_xlfn.COMPOUNDVALUE(447)</f>
        <v>701</v>
      </c>
      <c r="P11" s="52">
        <f>_xlfn.COMPOUNDVALUE(438)</f>
        <v>655</v>
      </c>
      <c r="Q11" s="53">
        <f>_xlfn.COMPOUNDVALUE(428)</f>
        <v>718</v>
      </c>
      <c r="R11" s="54">
        <f>_xlfn.COMPOUNDVALUE(419)</f>
        <v>681</v>
      </c>
      <c r="S11" s="51">
        <v>0</v>
      </c>
      <c r="T11" s="52">
        <v>0</v>
      </c>
      <c r="U11" s="53">
        <v>0</v>
      </c>
      <c r="V11" s="54">
        <v>0</v>
      </c>
      <c r="W11" s="51">
        <v>0</v>
      </c>
      <c r="X11" s="54">
        <v>0</v>
      </c>
    </row>
    <row r="12" spans="1:24" s="16" customFormat="1" ht="14.25">
      <c r="A12" s="9" t="e">
        <f t="shared" si="1"/>
        <v>#REF!</v>
      </c>
      <c r="B12" s="13"/>
      <c r="C12" s="13"/>
      <c r="D12" s="210" t="s">
        <v>7</v>
      </c>
      <c r="E12" s="14"/>
      <c r="F12" s="15"/>
      <c r="G12" s="51">
        <v>0</v>
      </c>
      <c r="H12" s="52">
        <v>0</v>
      </c>
      <c r="I12" s="53">
        <v>0</v>
      </c>
      <c r="J12" s="136">
        <f>_xlfn.COMPOUNDVALUE(418)</f>
        <v>165</v>
      </c>
      <c r="K12" s="51">
        <f>_xlfn.COMPOUNDVALUE(446)</f>
        <v>254</v>
      </c>
      <c r="L12" s="52">
        <f>_xlfn.COMPOUNDVALUE(437)</f>
        <v>264</v>
      </c>
      <c r="M12" s="53">
        <f>_xlfn.COMPOUNDVALUE(427)</f>
        <v>260</v>
      </c>
      <c r="N12" s="54">
        <f>_xlfn.COMPOUNDVALUE(417)</f>
        <v>281</v>
      </c>
      <c r="O12" s="51">
        <f>_xlfn.COMPOUNDVALUE(445)</f>
        <v>252</v>
      </c>
      <c r="P12" s="52">
        <f>_xlfn.COMPOUNDVALUE(436)</f>
        <v>238</v>
      </c>
      <c r="Q12" s="53">
        <f>_xlfn.COMPOUNDVALUE(426)</f>
        <v>198</v>
      </c>
      <c r="R12" s="54">
        <f>_xlfn.COMPOUNDVALUE(416)</f>
        <v>137</v>
      </c>
      <c r="S12" s="51">
        <f>_xlfn.COMPOUNDVALUE(444)</f>
        <v>101</v>
      </c>
      <c r="T12" s="52">
        <f>_xlfn.COMPOUNDVALUE(435)</f>
        <v>78</v>
      </c>
      <c r="U12" s="53">
        <f>_xlfn.COMPOUNDVALUE(425)</f>
        <v>65</v>
      </c>
      <c r="V12" s="54">
        <f>_xlfn.COMPOUNDVALUE(453)</f>
        <v>58</v>
      </c>
      <c r="W12" s="51">
        <f>_xlfn.COMPOUNDVALUE(490)</f>
        <v>50</v>
      </c>
      <c r="X12" s="54">
        <f>_xlfn.COMPOUNDVALUE(525)</f>
        <v>50</v>
      </c>
    </row>
    <row r="13" spans="1:24" s="16" customFormat="1" ht="8.25" customHeight="1" thickBot="1">
      <c r="A13" s="9" t="e">
        <f t="shared" si="1"/>
        <v>#REF!</v>
      </c>
      <c r="B13" s="13"/>
      <c r="C13" s="13"/>
      <c r="D13" s="30"/>
      <c r="E13" s="14"/>
      <c r="F13" s="15"/>
      <c r="G13" s="43"/>
      <c r="H13" s="44"/>
      <c r="I13" s="45"/>
      <c r="J13" s="134"/>
      <c r="K13" s="43"/>
      <c r="L13" s="44"/>
      <c r="M13" s="45"/>
      <c r="N13" s="46"/>
      <c r="O13" s="43"/>
      <c r="P13" s="44"/>
      <c r="Q13" s="45"/>
      <c r="R13" s="46"/>
      <c r="S13" s="43"/>
      <c r="T13" s="44"/>
      <c r="U13" s="45"/>
      <c r="V13" s="46"/>
      <c r="W13" s="43"/>
      <c r="X13" s="46"/>
    </row>
    <row r="14" spans="1:24" ht="15" thickBot="1">
      <c r="A14" s="9" t="e">
        <f t="shared" si="1"/>
        <v>#REF!</v>
      </c>
      <c r="D14" s="213" t="s">
        <v>191</v>
      </c>
      <c r="E14" s="25" t="s">
        <v>8</v>
      </c>
      <c r="F14" s="17">
        <f>_xlfn.COMPOUNDVALUE(292)</f>
        <v>343694</v>
      </c>
      <c r="G14" s="47">
        <f>_xlfn.COMPOUNDVALUE(291)</f>
        <v>351769</v>
      </c>
      <c r="H14" s="48">
        <f>_xlfn.COMPOUNDVALUE(290)</f>
        <v>356930</v>
      </c>
      <c r="I14" s="49">
        <f>_xlfn.COMPOUNDVALUE(289)</f>
        <v>371032</v>
      </c>
      <c r="J14" s="135">
        <f>_xlfn.COMPOUNDVALUE(288)</f>
        <v>366334</v>
      </c>
      <c r="K14" s="47">
        <f>_xlfn.COMPOUNDVALUE(287)</f>
        <v>370737</v>
      </c>
      <c r="L14" s="48">
        <f>_xlfn.COMPOUNDVALUE(286)</f>
        <v>391856</v>
      </c>
      <c r="M14" s="49">
        <f>_xlfn.COMPOUNDVALUE(285)</f>
        <v>421437</v>
      </c>
      <c r="N14" s="50">
        <f>_xlfn.COMPOUNDVALUE(284)</f>
        <v>418158</v>
      </c>
      <c r="O14" s="47">
        <f>_xlfn.COMPOUNDVALUE(283)</f>
        <v>415626</v>
      </c>
      <c r="P14" s="48">
        <f>_xlfn.COMPOUNDVALUE(282)</f>
        <v>433838</v>
      </c>
      <c r="Q14" s="49">
        <f>_xlfn.COMPOUNDVALUE(281)</f>
        <v>429885</v>
      </c>
      <c r="R14" s="50">
        <f>_xlfn.COMPOUNDVALUE(280)</f>
        <v>420281</v>
      </c>
      <c r="S14" s="47">
        <f>_xlfn.COMPOUNDVALUE(279)</f>
        <v>426380</v>
      </c>
      <c r="T14" s="48">
        <f>_xlfn.COMPOUNDVALUE(278)</f>
        <v>437079</v>
      </c>
      <c r="U14" s="49">
        <f>_xlfn.COMPOUNDVALUE(350)</f>
        <v>450672</v>
      </c>
      <c r="V14" s="50">
        <f>_xlfn.COMPOUNDVALUE(459)</f>
        <v>434975</v>
      </c>
      <c r="W14" s="47">
        <f>_xlfn.COMPOUNDVALUE(494)</f>
        <v>411198.99999</v>
      </c>
      <c r="X14" s="50">
        <f>_xlfn.COMPOUNDVALUE(516)</f>
        <v>421437</v>
      </c>
    </row>
    <row r="15" spans="1:24" ht="14.25">
      <c r="A15" s="9" t="e">
        <f>#REF!+1</f>
        <v>#REF!</v>
      </c>
      <c r="D15" s="210" t="s">
        <v>2</v>
      </c>
      <c r="E15" s="25" t="s">
        <v>9</v>
      </c>
      <c r="F15" s="25"/>
      <c r="G15" s="51">
        <f>_xlfn.COMPOUNDVALUE(415)</f>
        <v>154909</v>
      </c>
      <c r="H15" s="52">
        <f>_xlfn.COMPOUNDVALUE(403)</f>
        <v>157029</v>
      </c>
      <c r="I15" s="53">
        <f>_xlfn.COMPOUNDVALUE(391)</f>
        <v>161402</v>
      </c>
      <c r="J15" s="136">
        <f>_xlfn.COMPOUNDVALUE(379)</f>
        <v>159488</v>
      </c>
      <c r="K15" s="51">
        <f>_xlfn.COMPOUNDVALUE(414)</f>
        <v>161344</v>
      </c>
      <c r="L15" s="52">
        <f>_xlfn.COMPOUNDVALUE(402)</f>
        <v>166223</v>
      </c>
      <c r="M15" s="53">
        <f>_xlfn.COMPOUNDVALUE(390)</f>
        <v>174620</v>
      </c>
      <c r="N15" s="54">
        <f>_xlfn.COMPOUNDVALUE(378)</f>
        <v>158985</v>
      </c>
      <c r="O15" s="51">
        <f>_xlfn.COMPOUNDVALUE(413)</f>
        <v>154931</v>
      </c>
      <c r="P15" s="52">
        <f>_xlfn.COMPOUNDVALUE(401)</f>
        <v>155539</v>
      </c>
      <c r="Q15" s="53">
        <f>_xlfn.COMPOUNDVALUE(389)</f>
        <v>156210</v>
      </c>
      <c r="R15" s="54">
        <f>_xlfn.COMPOUNDVALUE(377)</f>
        <v>153161</v>
      </c>
      <c r="S15" s="51">
        <f>_xlfn.COMPOUNDVALUE(412)</f>
        <v>154441</v>
      </c>
      <c r="T15" s="52">
        <f>_xlfn.COMPOUNDVALUE(400)</f>
        <v>158106</v>
      </c>
      <c r="U15" s="53">
        <f>_xlfn.COMPOUNDVALUE(388)</f>
        <v>161102</v>
      </c>
      <c r="V15" s="54">
        <f>_xlfn.COMPOUNDVALUE(457)</f>
        <v>159373</v>
      </c>
      <c r="W15" s="51">
        <f>_xlfn.COMPOUNDVALUE(487)</f>
        <v>163022</v>
      </c>
      <c r="X15" s="54">
        <f>_xlfn.COMPOUNDVALUE(529)</f>
        <v>164336</v>
      </c>
    </row>
    <row r="16" spans="1:24" ht="14.25">
      <c r="A16" s="9" t="e">
        <f t="shared" si="1"/>
        <v>#REF!</v>
      </c>
      <c r="D16" s="210" t="s">
        <v>3</v>
      </c>
      <c r="E16" s="25" t="s">
        <v>10</v>
      </c>
      <c r="F16" s="25"/>
      <c r="G16" s="51">
        <f>_xlfn.COMPOUNDVALUE(411)</f>
        <v>10864</v>
      </c>
      <c r="H16" s="52">
        <f>_xlfn.COMPOUNDVALUE(399)</f>
        <v>14081</v>
      </c>
      <c r="I16" s="53">
        <f>_xlfn.COMPOUNDVALUE(387)</f>
        <v>15186</v>
      </c>
      <c r="J16" s="136">
        <f>_xlfn.COMPOUNDVALUE(376)</f>
        <v>19851</v>
      </c>
      <c r="K16" s="51">
        <f>_xlfn.COMPOUNDVALUE(410)</f>
        <v>22060</v>
      </c>
      <c r="L16" s="52">
        <f>_xlfn.COMPOUNDVALUE(398)</f>
        <v>27337</v>
      </c>
      <c r="M16" s="53">
        <f>_xlfn.COMPOUNDVALUE(386)</f>
        <v>31017</v>
      </c>
      <c r="N16" s="54">
        <f>_xlfn.COMPOUNDVALUE(375)</f>
        <v>35655</v>
      </c>
      <c r="O16" s="51">
        <f>_xlfn.COMPOUNDVALUE(409)</f>
        <v>38307</v>
      </c>
      <c r="P16" s="52">
        <f>_xlfn.COMPOUNDVALUE(397)</f>
        <v>40367</v>
      </c>
      <c r="Q16" s="53">
        <f>_xlfn.COMPOUNDVALUE(385)</f>
        <v>43698</v>
      </c>
      <c r="R16" s="54">
        <f>_xlfn.COMPOUNDVALUE(374)</f>
        <v>46348</v>
      </c>
      <c r="S16" s="51">
        <f>_xlfn.COMPOUNDVALUE(408)</f>
        <v>49014</v>
      </c>
      <c r="T16" s="52">
        <f>_xlfn.COMPOUNDVALUE(396)</f>
        <v>51304</v>
      </c>
      <c r="U16" s="53">
        <f>_xlfn.COMPOUNDVALUE(384)</f>
        <v>53083</v>
      </c>
      <c r="V16" s="54">
        <f>_xlfn.COMPOUNDVALUE(456)</f>
        <v>54302</v>
      </c>
      <c r="W16" s="51">
        <f>_xlfn.COMPOUNDVALUE(486)</f>
        <v>55718</v>
      </c>
      <c r="X16" s="54">
        <f>_xlfn.COMPOUNDVALUE(528)</f>
        <v>59257</v>
      </c>
    </row>
    <row r="17" spans="1:24" ht="14.25">
      <c r="A17" s="9" t="e">
        <f t="shared" si="1"/>
        <v>#REF!</v>
      </c>
      <c r="D17" s="210" t="s">
        <v>4</v>
      </c>
      <c r="E17" s="25" t="s">
        <v>11</v>
      </c>
      <c r="F17" s="25"/>
      <c r="G17" s="51">
        <f>_xlfn.COMPOUNDVALUE(407)</f>
        <v>178473</v>
      </c>
      <c r="H17" s="52">
        <f>_xlfn.COMPOUNDVALUE(395)</f>
        <v>177354</v>
      </c>
      <c r="I17" s="53">
        <f>_xlfn.COMPOUNDVALUE(383)</f>
        <v>184843</v>
      </c>
      <c r="J17" s="136">
        <f>_xlfn.COMPOUNDVALUE(373)</f>
        <v>176880</v>
      </c>
      <c r="K17" s="51">
        <f>_xlfn.COMPOUNDVALUE(406)</f>
        <v>177020</v>
      </c>
      <c r="L17" s="52">
        <f>_xlfn.COMPOUNDVALUE(394)</f>
        <v>187740</v>
      </c>
      <c r="M17" s="53">
        <f>_xlfn.COMPOUNDVALUE(382)</f>
        <v>205486</v>
      </c>
      <c r="N17" s="54">
        <f>_xlfn.COMPOUNDVALUE(372)</f>
        <v>212481</v>
      </c>
      <c r="O17" s="51">
        <f>_xlfn.COMPOUNDVALUE(405)</f>
        <v>211076</v>
      </c>
      <c r="P17" s="52">
        <f>_xlfn.COMPOUNDVALUE(393)</f>
        <v>226402</v>
      </c>
      <c r="Q17" s="53">
        <f>_xlfn.COMPOUNDVALUE(381)</f>
        <v>218551</v>
      </c>
      <c r="R17" s="54">
        <f>_xlfn.COMPOUNDVALUE(371)</f>
        <v>209335</v>
      </c>
      <c r="S17" s="51">
        <f>_xlfn.COMPOUNDVALUE(404)</f>
        <v>211830</v>
      </c>
      <c r="T17" s="52">
        <f>_xlfn.COMPOUNDVALUE(392)</f>
        <v>216866</v>
      </c>
      <c r="U17" s="53">
        <f>_xlfn.COMPOUNDVALUE(380)</f>
        <v>225957</v>
      </c>
      <c r="V17" s="54">
        <f>_xlfn.COMPOUNDVALUE(455)</f>
        <v>210659</v>
      </c>
      <c r="W17" s="51">
        <f>_xlfn.COMPOUNDVALUE(489)</f>
        <v>182007.99998999998</v>
      </c>
      <c r="X17" s="54">
        <f>_xlfn.COMPOUNDVALUE(527)</f>
        <v>187357</v>
      </c>
    </row>
    <row r="18" spans="1:24" ht="14.25">
      <c r="A18" s="9" t="e">
        <f t="shared" si="1"/>
        <v>#REF!</v>
      </c>
      <c r="D18" s="210" t="s">
        <v>5</v>
      </c>
      <c r="E18" s="25" t="s">
        <v>12</v>
      </c>
      <c r="F18" s="25"/>
      <c r="G18" s="51">
        <f>_xlfn.COMPOUNDVALUE(452)</f>
        <v>7523</v>
      </c>
      <c r="H18" s="52">
        <f>_xlfn.COMPOUNDVALUE(443)</f>
        <v>8466</v>
      </c>
      <c r="I18" s="53">
        <f>_xlfn.COMPOUNDVALUE(434)</f>
        <v>8816</v>
      </c>
      <c r="J18" s="136">
        <f>_xlfn.COMPOUNDVALUE(424)</f>
        <v>9209</v>
      </c>
      <c r="K18" s="51">
        <f>_xlfn.COMPOUNDVALUE(451)</f>
        <v>9351</v>
      </c>
      <c r="L18" s="52">
        <f>_xlfn.COMPOUNDVALUE(442)</f>
        <v>9424</v>
      </c>
      <c r="M18" s="53">
        <f>_xlfn.COMPOUNDVALUE(433)</f>
        <v>9330</v>
      </c>
      <c r="N18" s="54">
        <f>_xlfn.COMPOUNDVALUE(423)</f>
        <v>10044</v>
      </c>
      <c r="O18" s="51">
        <f>_xlfn.COMPOUNDVALUE(450)</f>
        <v>10359</v>
      </c>
      <c r="P18" s="52">
        <f>_xlfn.COMPOUNDVALUE(441)</f>
        <v>10637</v>
      </c>
      <c r="Q18" s="53">
        <f>_xlfn.COMPOUNDVALUE(432)</f>
        <v>10510</v>
      </c>
      <c r="R18" s="54">
        <f>_xlfn.COMPOUNDVALUE(422)</f>
        <v>10619</v>
      </c>
      <c r="S18" s="51">
        <f>_xlfn.COMPOUNDVALUE(449)</f>
        <v>10994</v>
      </c>
      <c r="T18" s="52">
        <f>_xlfn.COMPOUNDVALUE(440)</f>
        <v>10725</v>
      </c>
      <c r="U18" s="53">
        <f>_xlfn.COMPOUNDVALUE(431)</f>
        <v>10465</v>
      </c>
      <c r="V18" s="54">
        <f>_xlfn.COMPOUNDVALUE(454)</f>
        <v>10583</v>
      </c>
      <c r="W18" s="51">
        <f>_xlfn.COMPOUNDVALUE(488)</f>
        <v>10401</v>
      </c>
      <c r="X18" s="54">
        <f>_xlfn.COMPOUNDVALUE(526)</f>
        <v>10437</v>
      </c>
    </row>
    <row r="19" spans="1:24" ht="14.25">
      <c r="A19" s="9" t="e">
        <f t="shared" si="1"/>
        <v>#REF!</v>
      </c>
      <c r="D19" s="210" t="s">
        <v>6</v>
      </c>
      <c r="E19" s="25" t="s">
        <v>13</v>
      </c>
      <c r="F19" s="25"/>
      <c r="G19" s="51">
        <v>0</v>
      </c>
      <c r="H19" s="52">
        <v>0</v>
      </c>
      <c r="I19" s="53">
        <f>_xlfn.COMPOUNDVALUE(430)</f>
        <v>785</v>
      </c>
      <c r="J19" s="136">
        <f>_xlfn.COMPOUNDVALUE(421)</f>
        <v>741</v>
      </c>
      <c r="K19" s="51">
        <f>_xlfn.COMPOUNDVALUE(448)</f>
        <v>708</v>
      </c>
      <c r="L19" s="52">
        <f>_xlfn.COMPOUNDVALUE(439)</f>
        <v>868</v>
      </c>
      <c r="M19" s="53">
        <f>_xlfn.COMPOUNDVALUE(429)</f>
        <v>724</v>
      </c>
      <c r="N19" s="54">
        <f>_xlfn.COMPOUNDVALUE(420)</f>
        <v>712</v>
      </c>
      <c r="O19" s="51">
        <f>_xlfn.COMPOUNDVALUE(447)</f>
        <v>701</v>
      </c>
      <c r="P19" s="52">
        <f>_xlfn.COMPOUNDVALUE(438)</f>
        <v>655</v>
      </c>
      <c r="Q19" s="53">
        <f>_xlfn.COMPOUNDVALUE(428)</f>
        <v>718</v>
      </c>
      <c r="R19" s="54">
        <f>_xlfn.COMPOUNDVALUE(419)</f>
        <v>681</v>
      </c>
      <c r="S19" s="51">
        <v>0</v>
      </c>
      <c r="T19" s="52">
        <v>0</v>
      </c>
      <c r="U19" s="53">
        <v>0</v>
      </c>
      <c r="V19" s="54">
        <v>0</v>
      </c>
      <c r="W19" s="51">
        <v>0</v>
      </c>
      <c r="X19" s="54">
        <v>0</v>
      </c>
    </row>
    <row r="20" spans="1:24" ht="14.25">
      <c r="A20" s="9" t="e">
        <f t="shared" si="1"/>
        <v>#REF!</v>
      </c>
      <c r="D20" s="210" t="s">
        <v>7</v>
      </c>
      <c r="E20" s="25" t="s">
        <v>14</v>
      </c>
      <c r="F20" s="25"/>
      <c r="G20" s="51">
        <v>0</v>
      </c>
      <c r="H20" s="52">
        <v>0</v>
      </c>
      <c r="I20" s="53">
        <v>0</v>
      </c>
      <c r="J20" s="136">
        <f>_xlfn.COMPOUNDVALUE(418)</f>
        <v>165</v>
      </c>
      <c r="K20" s="51">
        <f>_xlfn.COMPOUNDVALUE(446)</f>
        <v>254</v>
      </c>
      <c r="L20" s="52">
        <f>_xlfn.COMPOUNDVALUE(437)</f>
        <v>264</v>
      </c>
      <c r="M20" s="53">
        <f>_xlfn.COMPOUNDVALUE(427)</f>
        <v>260</v>
      </c>
      <c r="N20" s="54">
        <f>_xlfn.COMPOUNDVALUE(417)</f>
        <v>281</v>
      </c>
      <c r="O20" s="51">
        <f>_xlfn.COMPOUNDVALUE(445)</f>
        <v>252</v>
      </c>
      <c r="P20" s="52">
        <f>_xlfn.COMPOUNDVALUE(436)</f>
        <v>238</v>
      </c>
      <c r="Q20" s="53">
        <f>_xlfn.COMPOUNDVALUE(426)</f>
        <v>198</v>
      </c>
      <c r="R20" s="54">
        <f>_xlfn.COMPOUNDVALUE(416)</f>
        <v>137</v>
      </c>
      <c r="S20" s="51">
        <f>_xlfn.COMPOUNDVALUE(444)</f>
        <v>101</v>
      </c>
      <c r="T20" s="52">
        <f>_xlfn.COMPOUNDVALUE(435)</f>
        <v>78</v>
      </c>
      <c r="U20" s="53">
        <f>_xlfn.COMPOUNDVALUE(425)</f>
        <v>65</v>
      </c>
      <c r="V20" s="54">
        <f>_xlfn.COMPOUNDVALUE(453)</f>
        <v>58</v>
      </c>
      <c r="W20" s="51">
        <f>_xlfn.COMPOUNDVALUE(490)</f>
        <v>50</v>
      </c>
      <c r="X20" s="54">
        <f>_xlfn.COMPOUNDVALUE(525)</f>
        <v>50</v>
      </c>
    </row>
    <row r="21" spans="1:24" ht="6" customHeight="1" thickBot="1">
      <c r="A21" s="9" t="e">
        <f t="shared" si="1"/>
        <v>#REF!</v>
      </c>
      <c r="D21" s="210"/>
      <c r="E21" s="25"/>
      <c r="F21" s="25"/>
      <c r="G21" s="51"/>
      <c r="H21" s="52"/>
      <c r="I21" s="53"/>
      <c r="J21" s="136"/>
      <c r="K21" s="51"/>
      <c r="L21" s="52"/>
      <c r="M21" s="53"/>
      <c r="N21" s="54"/>
      <c r="O21" s="51"/>
      <c r="P21" s="52"/>
      <c r="Q21" s="53"/>
      <c r="R21" s="54"/>
      <c r="S21" s="51"/>
      <c r="T21" s="52"/>
      <c r="U21" s="53"/>
      <c r="V21" s="54"/>
      <c r="W21" s="51"/>
      <c r="X21" s="54"/>
    </row>
    <row r="22" spans="1:24" ht="15" thickBot="1">
      <c r="A22" s="9" t="e">
        <f t="shared" si="1"/>
        <v>#REF!</v>
      </c>
      <c r="D22" s="213" t="s">
        <v>192</v>
      </c>
      <c r="E22" s="25" t="s">
        <v>15</v>
      </c>
      <c r="F22" s="19">
        <f>_xlfn.COMPOUNDVALUE(484)</f>
        <v>78389</v>
      </c>
      <c r="G22" s="47">
        <f>_xlfn.COMPOUNDVALUE(962)</f>
        <v>82392</v>
      </c>
      <c r="H22" s="48">
        <f>_xlfn.COMPOUNDVALUE(1041)</f>
        <v>82606</v>
      </c>
      <c r="I22" s="49">
        <f>_xlfn.COMPOUNDVALUE(1069)</f>
        <v>84808</v>
      </c>
      <c r="J22" s="135">
        <f>_xlfn.COMPOUNDVALUE(1098)</f>
        <v>89245</v>
      </c>
      <c r="K22" s="47">
        <f>_xlfn.COMPOUNDVALUE(765)</f>
        <v>93124</v>
      </c>
      <c r="L22" s="48">
        <f>_xlfn.COMPOUNDVALUE(831)</f>
        <v>99648</v>
      </c>
      <c r="M22" s="49">
        <f>_xlfn.COMPOUNDVALUE(741)</f>
        <v>104411</v>
      </c>
      <c r="N22" s="50">
        <f>_xlfn.COMPOUNDVALUE(693)</f>
        <v>103590</v>
      </c>
      <c r="O22" s="47">
        <f>_xlfn.COMPOUNDVALUE(988)</f>
        <v>105849</v>
      </c>
      <c r="P22" s="48">
        <f>_xlfn.COMPOUNDVALUE(840)</f>
        <v>108637</v>
      </c>
      <c r="Q22" s="49">
        <f>_xlfn.COMPOUNDVALUE(911)</f>
        <v>112333</v>
      </c>
      <c r="R22" s="50">
        <f>_xlfn.COMPOUNDVALUE(589)</f>
        <v>111947</v>
      </c>
      <c r="S22" s="47">
        <f>_xlfn.COMPOUNDVALUE(811)</f>
        <v>114975</v>
      </c>
      <c r="T22" s="48">
        <f>_xlfn.COMPOUNDVALUE(1010)</f>
        <v>117624</v>
      </c>
      <c r="U22" s="49">
        <f>_xlfn.COMPOUNDVALUE(785)</f>
        <v>119525</v>
      </c>
      <c r="V22" s="50">
        <f>_xlfn.COMPOUNDVALUE(660)</f>
        <v>121677</v>
      </c>
      <c r="W22" s="47">
        <f>_xlfn.COMPOUNDVALUE(902)</f>
        <v>123545</v>
      </c>
      <c r="X22" s="50">
        <f>_xlfn.COMPOUNDVALUE(866)</f>
        <v>126705</v>
      </c>
    </row>
    <row r="23" spans="1:24" ht="14.25">
      <c r="A23" s="9" t="e">
        <f>#REF!+1</f>
        <v>#REF!</v>
      </c>
      <c r="D23" s="210" t="s">
        <v>2</v>
      </c>
      <c r="E23" s="25" t="s">
        <v>9</v>
      </c>
      <c r="F23" s="25"/>
      <c r="G23" s="51">
        <f>_xlfn.COMPOUNDVALUE(957)</f>
        <v>29404</v>
      </c>
      <c r="H23" s="52">
        <f>_xlfn.COMPOUNDVALUE(1053)</f>
        <v>31059</v>
      </c>
      <c r="I23" s="53">
        <f>_xlfn.COMPOUNDVALUE(1074)</f>
        <v>31771</v>
      </c>
      <c r="J23" s="136">
        <f>_xlfn.COMPOUNDVALUE(1090)</f>
        <v>32388</v>
      </c>
      <c r="K23" s="51">
        <f>_xlfn.COMPOUNDVALUE(756)</f>
        <v>32586</v>
      </c>
      <c r="L23" s="52">
        <f>_xlfn.COMPOUNDVALUE(833)</f>
        <v>36330</v>
      </c>
      <c r="M23" s="53">
        <f>_xlfn.COMPOUNDVALUE(744)</f>
        <v>39835</v>
      </c>
      <c r="N23" s="54">
        <f>_xlfn.COMPOUNDVALUE(677)</f>
        <v>36348</v>
      </c>
      <c r="O23" s="51">
        <f>_xlfn.COMPOUNDVALUE(985)</f>
        <v>36458</v>
      </c>
      <c r="P23" s="52">
        <f>_xlfn.COMPOUNDVALUE(857)</f>
        <v>37618</v>
      </c>
      <c r="Q23" s="53">
        <f>_xlfn.COMPOUNDVALUE(930)</f>
        <v>39406</v>
      </c>
      <c r="R23" s="54">
        <f>_xlfn.COMPOUNDVALUE(581)</f>
        <v>38363</v>
      </c>
      <c r="S23" s="51">
        <f>_xlfn.COMPOUNDVALUE(791)</f>
        <v>40491</v>
      </c>
      <c r="T23" s="52">
        <f>_xlfn.COMPOUNDVALUE(1012)</f>
        <v>43015</v>
      </c>
      <c r="U23" s="53">
        <f>_xlfn.COMPOUNDVALUE(788)</f>
        <v>44582</v>
      </c>
      <c r="V23" s="54">
        <f>_xlfn.COMPOUNDVALUE(646)</f>
        <v>46116</v>
      </c>
      <c r="W23" s="51">
        <f>_xlfn.COMPOUNDVALUE(899)</f>
        <v>47151</v>
      </c>
      <c r="X23" s="54">
        <f>_xlfn.COMPOUNDVALUE(880)</f>
        <v>48944</v>
      </c>
    </row>
    <row r="24" spans="1:24" ht="14.25">
      <c r="A24" s="9" t="e">
        <f t="shared" si="1"/>
        <v>#REF!</v>
      </c>
      <c r="D24" s="210" t="s">
        <v>3</v>
      </c>
      <c r="E24" s="25" t="s">
        <v>10</v>
      </c>
      <c r="F24" s="25"/>
      <c r="G24" s="51">
        <f>_xlfn.COMPOUNDVALUE(965)</f>
        <v>17985</v>
      </c>
      <c r="H24" s="52">
        <f>_xlfn.COMPOUNDVALUE(1052)</f>
        <v>15494</v>
      </c>
      <c r="I24" s="53">
        <f>_xlfn.COMPOUNDVALUE(1061)</f>
        <v>16012</v>
      </c>
      <c r="J24" s="136">
        <f>_xlfn.COMPOUNDVALUE(1094)</f>
        <v>16475</v>
      </c>
      <c r="K24" s="51">
        <f>_xlfn.COMPOUNDVALUE(766)</f>
        <v>18328</v>
      </c>
      <c r="L24" s="52">
        <f>_xlfn.COMPOUNDVALUE(832)</f>
        <v>19184</v>
      </c>
      <c r="M24" s="53">
        <f>_xlfn.COMPOUNDVALUE(740)</f>
        <v>19300</v>
      </c>
      <c r="N24" s="54">
        <f>_xlfn.COMPOUNDVALUE(671)</f>
        <v>20010</v>
      </c>
      <c r="O24" s="51">
        <f>_xlfn.COMPOUNDVALUE(989)</f>
        <v>20804</v>
      </c>
      <c r="P24" s="52">
        <f>_xlfn.COMPOUNDVALUE(856)</f>
        <v>20797</v>
      </c>
      <c r="Q24" s="53">
        <f>_xlfn.COMPOUNDVALUE(921)</f>
        <v>21633</v>
      </c>
      <c r="R24" s="54">
        <f>_xlfn.COMPOUNDVALUE(585)</f>
        <v>22019</v>
      </c>
      <c r="S24" s="51">
        <f>_xlfn.COMPOUNDVALUE(812)</f>
        <v>22228</v>
      </c>
      <c r="T24" s="52">
        <f>_xlfn.COMPOUNDVALUE(1011)</f>
        <v>22290</v>
      </c>
      <c r="U24" s="53">
        <f>_xlfn.COMPOUNDVALUE(784)</f>
        <v>22037</v>
      </c>
      <c r="V24" s="54">
        <f>_xlfn.COMPOUNDVALUE(651)</f>
        <v>21878</v>
      </c>
      <c r="W24" s="51">
        <f>_xlfn.COMPOUNDVALUE(903)</f>
        <v>21962</v>
      </c>
      <c r="X24" s="54">
        <f>_xlfn.COMPOUNDVALUE(879)</f>
        <v>21760</v>
      </c>
    </row>
    <row r="25" spans="1:24" ht="14.25">
      <c r="A25" s="9" t="e">
        <f t="shared" si="1"/>
        <v>#REF!</v>
      </c>
      <c r="D25" s="210" t="s">
        <v>4</v>
      </c>
      <c r="E25" s="25" t="s">
        <v>11</v>
      </c>
      <c r="F25" s="25"/>
      <c r="G25" s="51">
        <f>_xlfn.COMPOUNDVALUE(961)</f>
        <v>35003</v>
      </c>
      <c r="H25" s="52">
        <f>_xlfn.COMPOUNDVALUE(1040)</f>
        <v>36053</v>
      </c>
      <c r="I25" s="53">
        <f>_xlfn.COMPOUNDVALUE(1068)</f>
        <v>37025</v>
      </c>
      <c r="J25" s="136">
        <f>_xlfn.COMPOUNDVALUE(1097)</f>
        <v>40382</v>
      </c>
      <c r="K25" s="51">
        <f>_xlfn.COMPOUNDVALUE(764)</f>
        <v>42210</v>
      </c>
      <c r="L25" s="52">
        <f>_xlfn.COMPOUNDVALUE(830)</f>
        <v>44134</v>
      </c>
      <c r="M25" s="53">
        <f>_xlfn.COMPOUNDVALUE(739)</f>
        <v>45276</v>
      </c>
      <c r="N25" s="54">
        <f>_xlfn.COMPOUNDVALUE(692)</f>
        <v>47232</v>
      </c>
      <c r="O25" s="51">
        <f>_xlfn.COMPOUNDVALUE(987)</f>
        <v>48587</v>
      </c>
      <c r="P25" s="52">
        <f>_xlfn.COMPOUNDVALUE(839)</f>
        <v>50222</v>
      </c>
      <c r="Q25" s="53">
        <f>_xlfn.COMPOUNDVALUE(909)</f>
        <v>51294</v>
      </c>
      <c r="R25" s="54">
        <f>_xlfn.COMPOUNDVALUE(588)</f>
        <v>51565</v>
      </c>
      <c r="S25" s="51">
        <f>_xlfn.COMPOUNDVALUE(810)</f>
        <v>52256</v>
      </c>
      <c r="T25" s="52">
        <f>_xlfn.COMPOUNDVALUE(1009)</f>
        <v>52319</v>
      </c>
      <c r="U25" s="53">
        <f>_xlfn.COMPOUNDVALUE(783)</f>
        <v>52906</v>
      </c>
      <c r="V25" s="54">
        <f>_xlfn.COMPOUNDVALUE(659)</f>
        <v>53683</v>
      </c>
      <c r="W25" s="51">
        <f>_xlfn.COMPOUNDVALUE(901)</f>
        <v>54432</v>
      </c>
      <c r="X25" s="54">
        <f>_xlfn.COMPOUNDVALUE(865)</f>
        <v>56001</v>
      </c>
    </row>
    <row r="26" spans="1:24" ht="14.25">
      <c r="A26" s="9" t="e">
        <f t="shared" si="1"/>
        <v>#REF!</v>
      </c>
      <c r="D26" s="210" t="s">
        <v>5</v>
      </c>
      <c r="E26" s="25" t="s">
        <v>12</v>
      </c>
      <c r="F26" s="25"/>
      <c r="G26" s="51">
        <v>0</v>
      </c>
      <c r="H26" s="52">
        <v>0</v>
      </c>
      <c r="I26" s="53">
        <v>0</v>
      </c>
      <c r="J26" s="136">
        <v>0</v>
      </c>
      <c r="K26" s="51">
        <v>0</v>
      </c>
      <c r="L26" s="52">
        <v>0</v>
      </c>
      <c r="M26" s="53">
        <v>0</v>
      </c>
      <c r="N26" s="54">
        <f>_xlfn.COMPOUNDVALUE(690)</f>
        <v>0</v>
      </c>
      <c r="O26" s="51">
        <v>0</v>
      </c>
      <c r="P26" s="52">
        <f>_xlfn.COMPOUNDVALUE(848)</f>
        <v>0</v>
      </c>
      <c r="Q26" s="53">
        <v>0</v>
      </c>
      <c r="R26" s="54">
        <v>0</v>
      </c>
      <c r="S26" s="51">
        <v>0</v>
      </c>
      <c r="T26" s="52">
        <v>0</v>
      </c>
      <c r="U26" s="53">
        <v>0</v>
      </c>
      <c r="V26" s="54">
        <v>0</v>
      </c>
      <c r="W26" s="51">
        <v>0</v>
      </c>
      <c r="X26" s="54">
        <v>0</v>
      </c>
    </row>
    <row r="27" spans="1:24" ht="14.25">
      <c r="A27" s="9" t="e">
        <f t="shared" si="1"/>
        <v>#REF!</v>
      </c>
      <c r="D27" s="210" t="s">
        <v>6</v>
      </c>
      <c r="E27" s="25" t="s">
        <v>13</v>
      </c>
      <c r="F27" s="25"/>
      <c r="G27" s="51">
        <v>0</v>
      </c>
      <c r="H27" s="52">
        <v>0</v>
      </c>
      <c r="I27" s="53">
        <v>0</v>
      </c>
      <c r="J27" s="136">
        <v>0</v>
      </c>
      <c r="K27" s="51">
        <v>0</v>
      </c>
      <c r="L27" s="52">
        <v>0</v>
      </c>
      <c r="M27" s="53">
        <v>0</v>
      </c>
      <c r="N27" s="54">
        <v>0</v>
      </c>
      <c r="O27" s="51">
        <f>_xlfn.COMPOUNDVALUE(984)</f>
        <v>0</v>
      </c>
      <c r="P27" s="52">
        <v>0</v>
      </c>
      <c r="Q27" s="53">
        <v>0</v>
      </c>
      <c r="R27" s="54">
        <v>0</v>
      </c>
      <c r="S27" s="51">
        <v>0</v>
      </c>
      <c r="T27" s="52">
        <v>0</v>
      </c>
      <c r="U27" s="53">
        <v>0</v>
      </c>
      <c r="V27" s="54">
        <v>0</v>
      </c>
      <c r="W27" s="51">
        <v>0</v>
      </c>
      <c r="X27" s="54">
        <v>0</v>
      </c>
    </row>
    <row r="28" spans="1:24" ht="14.25">
      <c r="A28" s="9" t="e">
        <f t="shared" si="1"/>
        <v>#REF!</v>
      </c>
      <c r="D28" s="210" t="s">
        <v>7</v>
      </c>
      <c r="E28" s="25" t="s">
        <v>14</v>
      </c>
      <c r="F28" s="25"/>
      <c r="G28" s="51">
        <v>0</v>
      </c>
      <c r="H28" s="52">
        <v>0</v>
      </c>
      <c r="I28" s="53">
        <v>0</v>
      </c>
      <c r="J28" s="136">
        <v>0</v>
      </c>
      <c r="K28" s="51">
        <v>0</v>
      </c>
      <c r="L28" s="52">
        <v>0</v>
      </c>
      <c r="M28" s="53">
        <v>0</v>
      </c>
      <c r="N28" s="54">
        <v>0</v>
      </c>
      <c r="O28" s="51">
        <v>0</v>
      </c>
      <c r="P28" s="52">
        <v>0</v>
      </c>
      <c r="Q28" s="53">
        <v>0</v>
      </c>
      <c r="R28" s="54">
        <v>0</v>
      </c>
      <c r="S28" s="51">
        <v>0</v>
      </c>
      <c r="T28" s="52">
        <v>0</v>
      </c>
      <c r="U28" s="53">
        <v>0</v>
      </c>
      <c r="V28" s="54">
        <v>0</v>
      </c>
      <c r="W28" s="51">
        <v>0</v>
      </c>
      <c r="X28" s="54">
        <v>0</v>
      </c>
    </row>
    <row r="29" spans="1:24" ht="8.25" customHeight="1" thickBot="1">
      <c r="A29" s="9" t="e">
        <f t="shared" si="1"/>
        <v>#REF!</v>
      </c>
      <c r="D29" s="18"/>
      <c r="E29" s="25"/>
      <c r="F29" s="25"/>
      <c r="G29" s="24"/>
      <c r="H29" s="25"/>
      <c r="I29" s="25"/>
      <c r="J29" s="25"/>
      <c r="K29" s="24"/>
      <c r="L29" s="25"/>
      <c r="M29" s="25"/>
      <c r="N29" s="26"/>
      <c r="O29" s="24"/>
      <c r="P29" s="25"/>
      <c r="Q29" s="25"/>
      <c r="R29" s="26"/>
      <c r="S29" s="24"/>
      <c r="T29" s="25"/>
      <c r="U29" s="25"/>
      <c r="V29" s="26"/>
      <c r="W29" s="24"/>
      <c r="X29" s="26"/>
    </row>
    <row r="30" spans="1:24" ht="15" thickBot="1">
      <c r="A30" s="9" t="e">
        <f t="shared" si="1"/>
        <v>#REF!</v>
      </c>
      <c r="C30" s="59"/>
      <c r="D30" s="211" t="s">
        <v>16</v>
      </c>
      <c r="E30" s="25"/>
      <c r="F30" s="25"/>
      <c r="G30" s="31">
        <v>45959</v>
      </c>
      <c r="H30" s="32">
        <v>51374</v>
      </c>
      <c r="I30" s="33">
        <v>58695</v>
      </c>
      <c r="J30" s="137">
        <v>67325</v>
      </c>
      <c r="K30" s="31">
        <f>_xlfn.COMPOUNDVALUE(344)</f>
        <v>40526</v>
      </c>
      <c r="L30" s="32">
        <f>_xlfn.COMPOUNDVALUE(343)</f>
        <v>43801</v>
      </c>
      <c r="M30" s="33">
        <f>_xlfn.COMPOUNDVALUE(342)</f>
        <v>46704</v>
      </c>
      <c r="N30" s="34">
        <f>_xlfn.COMPOUNDVALUE(341)</f>
        <v>48955</v>
      </c>
      <c r="O30" s="31">
        <f>_xlfn.COMPOUNDVALUE(340)</f>
        <v>50610</v>
      </c>
      <c r="P30" s="32">
        <f>_xlfn.COMPOUNDVALUE(339)</f>
        <v>52194</v>
      </c>
      <c r="Q30" s="33">
        <f>_xlfn.COMPOUNDVALUE(338)</f>
        <v>53495</v>
      </c>
      <c r="R30" s="34">
        <f>_xlfn.COMPOUNDVALUE(337)</f>
        <v>54150</v>
      </c>
      <c r="S30" s="31">
        <f>_xlfn.COMPOUNDVALUE(336)</f>
        <v>54208</v>
      </c>
      <c r="T30" s="32">
        <f>_xlfn.COMPOUNDVALUE(335)</f>
        <v>53839</v>
      </c>
      <c r="U30" s="33">
        <f>_xlfn.COMPOUNDVALUE(369)</f>
        <v>54470</v>
      </c>
      <c r="V30" s="34">
        <f>_xlfn.COMPOUNDVALUE(474)</f>
        <v>55218</v>
      </c>
      <c r="W30" s="31">
        <f>_xlfn.COMPOUNDVALUE(514)</f>
        <v>56089</v>
      </c>
      <c r="X30" s="34">
        <f>_xlfn.COMPOUNDVALUE(524)</f>
        <v>57808</v>
      </c>
    </row>
    <row r="31" spans="1:24" ht="14.25">
      <c r="A31" s="9" t="e">
        <f t="shared" si="1"/>
        <v>#REF!</v>
      </c>
      <c r="D31" s="215" t="s">
        <v>17</v>
      </c>
      <c r="E31" s="25"/>
      <c r="F31" s="25"/>
      <c r="G31" s="64">
        <v>0.10585704381554308</v>
      </c>
      <c r="H31" s="65">
        <v>0.11688234865858542</v>
      </c>
      <c r="I31" s="66">
        <v>0.128762285012285</v>
      </c>
      <c r="J31" s="138">
        <v>0.14777898015492374</v>
      </c>
      <c r="K31" s="64">
        <f>_xlfn.COMPOUNDVALUE(344)</f>
        <v>0.08736668959020051</v>
      </c>
      <c r="L31" s="65">
        <f>_xlfn.COMPOUNDVALUE(343)</f>
        <v>0.08911626355024578</v>
      </c>
      <c r="M31" s="66">
        <f>_xlfn.COMPOUNDVALUE(342)</f>
        <v>0.08881654014087721</v>
      </c>
      <c r="N31" s="67">
        <f>_xlfn.COMPOUNDVALUE(341)</f>
        <v>0.09382882157669986</v>
      </c>
      <c r="O31" s="64">
        <f>_xlfn.COMPOUNDVALUE(340)</f>
        <v>0.09705163238889689</v>
      </c>
      <c r="P31" s="65">
        <f>_xlfn.COMPOUNDVALUE(339)</f>
        <v>0.09621457210009678</v>
      </c>
      <c r="Q31" s="66">
        <f>_xlfn.COMPOUNDVALUE(338)</f>
        <v>0.09865957972623557</v>
      </c>
      <c r="R31" s="67">
        <f>_xlfn.COMPOUNDVALUE(337)</f>
        <v>0.10174211052406111</v>
      </c>
      <c r="S31" s="64">
        <f>_xlfn.COMPOUNDVALUE(336)</f>
        <v>0.10013392321120153</v>
      </c>
      <c r="T31" s="65">
        <f>_xlfn.COMPOUNDVALUE(335)</f>
        <v>0.09705914696693546</v>
      </c>
      <c r="U31" s="66">
        <f>_xlfn.COMPOUNDVALUE(369)</f>
        <v>0.09552838755728284</v>
      </c>
      <c r="V31" s="67">
        <f>_xlfn.COMPOUNDVALUE(474)</f>
        <v>0.09919662553983458</v>
      </c>
      <c r="W31" s="64">
        <f>_xlfn.COMPOUNDVALUE(514)</f>
        <v>0.10488944242674794</v>
      </c>
      <c r="X31" s="67">
        <f>_xlfn.COMPOUNDVALUE(524)</f>
        <v>0.10546172342203297</v>
      </c>
    </row>
    <row r="32" spans="1:24" ht="9.75" customHeight="1" thickBot="1">
      <c r="A32" s="9" t="e">
        <f t="shared" si="1"/>
        <v>#REF!</v>
      </c>
      <c r="D32" s="210"/>
      <c r="E32" s="25"/>
      <c r="F32" s="25"/>
      <c r="G32" s="51"/>
      <c r="H32" s="52"/>
      <c r="I32" s="53"/>
      <c r="J32" s="136"/>
      <c r="K32" s="51"/>
      <c r="L32" s="52"/>
      <c r="M32" s="53"/>
      <c r="N32" s="54"/>
      <c r="O32" s="51"/>
      <c r="P32" s="52"/>
      <c r="Q32" s="53"/>
      <c r="R32" s="54"/>
      <c r="S32" s="51"/>
      <c r="T32" s="52"/>
      <c r="U32" s="53"/>
      <c r="V32" s="54"/>
      <c r="W32" s="51"/>
      <c r="X32" s="54"/>
    </row>
    <row r="33" spans="1:24" ht="15" thickBot="1">
      <c r="A33" s="9" t="e">
        <f t="shared" si="1"/>
        <v>#REF!</v>
      </c>
      <c r="C33" s="60"/>
      <c r="D33" s="211" t="s">
        <v>101</v>
      </c>
      <c r="E33" s="25"/>
      <c r="F33" s="25"/>
      <c r="G33" s="31">
        <f>_xlfn.COMPOUNDVALUE(277)</f>
        <v>63291769</v>
      </c>
      <c r="H33" s="32">
        <f>_xlfn.COMPOUNDVALUE(276)</f>
        <v>69027995</v>
      </c>
      <c r="I33" s="33">
        <f>_xlfn.COMPOUNDVALUE(275)</f>
        <v>73332110</v>
      </c>
      <c r="J33" s="137">
        <f>_xlfn.COMPOUNDVALUE(274)</f>
        <v>73826133</v>
      </c>
      <c r="K33" s="31">
        <f>_xlfn.COMPOUNDVALUE(273)</f>
        <v>72184195</v>
      </c>
      <c r="L33" s="32">
        <f>_xlfn.COMPOUNDVALUE(272)</f>
        <v>84951776.13</v>
      </c>
      <c r="M33" s="33">
        <f>_xlfn.COMPOUNDVALUE(271)</f>
        <v>85163064</v>
      </c>
      <c r="N33" s="34">
        <f>_xlfn.COMPOUNDVALUE(270)</f>
        <v>85808905</v>
      </c>
      <c r="O33" s="31">
        <f>_xlfn.COMPOUNDVALUE(269)</f>
        <v>83679331</v>
      </c>
      <c r="P33" s="32">
        <f>_xlfn.COMPOUNDVALUE(268)</f>
        <v>87682487.267382</v>
      </c>
      <c r="Q33" s="33">
        <f>_xlfn.COMPOUNDVALUE(267)</f>
        <v>99302264</v>
      </c>
      <c r="R33" s="34">
        <f>_xlfn.COMPOUNDVALUE(266)</f>
        <v>102255600.62738901</v>
      </c>
      <c r="S33" s="31">
        <f>_xlfn.COMPOUNDVALUE(265)</f>
        <v>100205479</v>
      </c>
      <c r="T33" s="32">
        <f>_xlfn.COMPOUNDVALUE(264)</f>
        <v>122584571</v>
      </c>
      <c r="U33" s="33">
        <f>_xlfn.COMPOUNDVALUE(347)</f>
        <v>131157569.5</v>
      </c>
      <c r="V33" s="34">
        <f>_xlfn.COMPOUNDVALUE(370)</f>
        <v>128321357</v>
      </c>
      <c r="W33" s="31">
        <f>_xlfn.COMPOUNDVALUE(512)</f>
        <v>120967421</v>
      </c>
      <c r="X33" s="34">
        <f>_xlfn.COMPOUNDVALUE(523)</f>
        <v>131529774</v>
      </c>
    </row>
    <row r="34" spans="1:24" ht="8.25" customHeight="1" thickBot="1">
      <c r="A34" s="9" t="e">
        <f t="shared" si="1"/>
        <v>#REF!</v>
      </c>
      <c r="D34" s="210"/>
      <c r="E34" s="25"/>
      <c r="F34" s="25"/>
      <c r="G34" s="51"/>
      <c r="H34" s="52"/>
      <c r="I34" s="53"/>
      <c r="J34" s="136"/>
      <c r="K34" s="51"/>
      <c r="L34" s="52"/>
      <c r="M34" s="53"/>
      <c r="N34" s="54"/>
      <c r="O34" s="51"/>
      <c r="P34" s="52"/>
      <c r="Q34" s="53"/>
      <c r="R34" s="54"/>
      <c r="S34" s="51"/>
      <c r="T34" s="52"/>
      <c r="U34" s="53"/>
      <c r="V34" s="54"/>
      <c r="W34" s="51"/>
      <c r="X34" s="54"/>
    </row>
    <row r="35" spans="1:24" ht="15" thickBot="1">
      <c r="A35" s="9" t="e">
        <f t="shared" si="1"/>
        <v>#REF!</v>
      </c>
      <c r="C35" s="60"/>
      <c r="D35" s="211" t="s">
        <v>104</v>
      </c>
      <c r="E35" s="25"/>
      <c r="F35" s="25"/>
      <c r="G35" s="31">
        <f>_xlfn.COMPOUNDVALUE(263)</f>
        <v>85757427.35401504</v>
      </c>
      <c r="H35" s="32">
        <f>_xlfn.COMPOUNDVALUE(262)</f>
        <v>92918379.75333901</v>
      </c>
      <c r="I35" s="33">
        <f>_xlfn.COMPOUNDVALUE(261)</f>
        <v>98951655.216616</v>
      </c>
      <c r="J35" s="137">
        <f>_xlfn.COMPOUNDVALUE(260)</f>
        <v>104201691.18336299</v>
      </c>
      <c r="K35" s="31">
        <f>_xlfn.COMPOUNDVALUE(259)</f>
        <v>107239180.37</v>
      </c>
      <c r="L35" s="32">
        <f>_xlfn.COMPOUNDVALUE(258)</f>
        <v>122749991.41235898</v>
      </c>
      <c r="M35" s="33">
        <f>_xlfn.COMPOUNDVALUE(257)</f>
        <v>127699099.42916009</v>
      </c>
      <c r="N35" s="34">
        <f>_xlfn.COMPOUNDVALUE(256)</f>
        <v>134913866.46170402</v>
      </c>
      <c r="O35" s="31">
        <f>_xlfn.COMPOUNDVALUE(255)</f>
        <v>136094198.34332302</v>
      </c>
      <c r="P35" s="32">
        <f>_xlfn.COMPOUNDVALUE(254)</f>
        <v>142684014.56306902</v>
      </c>
      <c r="Q35" s="33">
        <f>_xlfn.COMPOUNDVALUE(253)</f>
        <v>149422171.02726102</v>
      </c>
      <c r="R35" s="34">
        <f>_xlfn.COMPOUNDVALUE(252)</f>
        <v>152203865.760088</v>
      </c>
      <c r="S35" s="31">
        <f>_xlfn.COMPOUNDVALUE(251)</f>
        <v>150437620.195336</v>
      </c>
      <c r="T35" s="32">
        <f>_xlfn.COMPOUNDVALUE(250)</f>
        <v>162390930.96300697</v>
      </c>
      <c r="U35" s="33">
        <f>_xlfn.COMPOUNDVALUE(346)</f>
        <v>168208630.10090095</v>
      </c>
      <c r="V35" s="34">
        <f>_xlfn.COMPOUNDVALUE(465)</f>
        <v>171783596.44241193</v>
      </c>
      <c r="W35" s="31">
        <f>_xlfn.COMPOUNDVALUE(502)</f>
        <v>166842259.34600604</v>
      </c>
      <c r="X35" s="34">
        <f>_xlfn.COMPOUNDVALUE(522)</f>
        <v>181356918.64195</v>
      </c>
    </row>
    <row r="36" spans="1:24" ht="8.25" customHeight="1" thickBot="1">
      <c r="A36" s="9" t="e">
        <f t="shared" si="1"/>
        <v>#REF!</v>
      </c>
      <c r="D36" s="210"/>
      <c r="E36" s="25"/>
      <c r="F36" s="25"/>
      <c r="G36" s="51"/>
      <c r="H36" s="52"/>
      <c r="I36" s="53"/>
      <c r="J36" s="136"/>
      <c r="K36" s="51"/>
      <c r="L36" s="52"/>
      <c r="M36" s="53"/>
      <c r="N36" s="54"/>
      <c r="O36" s="51"/>
      <c r="P36" s="52"/>
      <c r="Q36" s="53"/>
      <c r="R36" s="54"/>
      <c r="S36" s="51"/>
      <c r="T36" s="52"/>
      <c r="U36" s="53"/>
      <c r="V36" s="54"/>
      <c r="W36" s="51"/>
      <c r="X36" s="54"/>
    </row>
    <row r="37" spans="1:24" ht="15" thickBot="1">
      <c r="A37" s="9" t="e">
        <f t="shared" si="1"/>
        <v>#REF!</v>
      </c>
      <c r="C37" s="60"/>
      <c r="D37" s="211" t="s">
        <v>18</v>
      </c>
      <c r="E37" s="25"/>
      <c r="F37" s="25"/>
      <c r="G37" s="31">
        <f>_xlfn.COMPOUNDVALUE(249)</f>
        <v>132519212.995</v>
      </c>
      <c r="H37" s="32">
        <f>_xlfn.COMPOUNDVALUE(248)</f>
        <v>144643816</v>
      </c>
      <c r="I37" s="33">
        <f>_xlfn.COMPOUNDVALUE(247)</f>
        <v>151286767</v>
      </c>
      <c r="J37" s="137">
        <f>_xlfn.COMPOUNDVALUE(246)</f>
        <v>151010212</v>
      </c>
      <c r="K37" s="31">
        <f>_xlfn.COMPOUNDVALUE(245)</f>
        <v>126956897</v>
      </c>
      <c r="L37" s="32">
        <f>_xlfn.COMPOUNDVALUE(244)</f>
        <v>148535017.5</v>
      </c>
      <c r="M37" s="33">
        <f>_xlfn.COMPOUNDVALUE(243)</f>
        <v>151308531</v>
      </c>
      <c r="N37" s="34">
        <f>_xlfn.COMPOUNDVALUE(242)</f>
        <v>150229398.8</v>
      </c>
      <c r="O37" s="31">
        <f>_xlfn.COMPOUNDVALUE(241)</f>
        <v>147314328</v>
      </c>
      <c r="P37" s="32">
        <f>_xlfn.COMPOUNDVALUE(240)</f>
        <v>152879672</v>
      </c>
      <c r="Q37" s="33">
        <f>_xlfn.COMPOUNDVALUE(239)</f>
        <v>164310345</v>
      </c>
      <c r="R37" s="34">
        <f>_xlfn.COMPOUNDVALUE(238)</f>
        <v>169323509</v>
      </c>
      <c r="S37" s="31">
        <f>_xlfn.COMPOUNDVALUE(237)</f>
        <v>153804416</v>
      </c>
      <c r="T37" s="32">
        <f>_xlfn.COMPOUNDVALUE(236)</f>
        <v>148090707</v>
      </c>
      <c r="U37" s="33">
        <f>_xlfn.COMPOUNDVALUE(345)</f>
        <v>145127456</v>
      </c>
      <c r="V37" s="34">
        <f>_xlfn.COMPOUNDVALUE(472)</f>
        <v>142080936</v>
      </c>
      <c r="W37" s="31">
        <f>_xlfn.COMPOUNDVALUE(510)</f>
        <v>128130684</v>
      </c>
      <c r="X37" s="34">
        <f>_xlfn.COMPOUNDVALUE(521)</f>
        <v>128872744</v>
      </c>
    </row>
    <row r="38" spans="1:24" ht="7.5" customHeight="1" thickBot="1">
      <c r="A38" s="9" t="e">
        <f t="shared" si="1"/>
        <v>#REF!</v>
      </c>
      <c r="D38" s="210"/>
      <c r="E38" s="25"/>
      <c r="F38" s="25"/>
      <c r="G38" s="51"/>
      <c r="H38" s="52"/>
      <c r="I38" s="53"/>
      <c r="J38" s="136"/>
      <c r="K38" s="51"/>
      <c r="L38" s="52"/>
      <c r="M38" s="53"/>
      <c r="N38" s="54"/>
      <c r="O38" s="51"/>
      <c r="P38" s="52"/>
      <c r="Q38" s="53"/>
      <c r="R38" s="54"/>
      <c r="S38" s="51"/>
      <c r="T38" s="52"/>
      <c r="U38" s="53"/>
      <c r="V38" s="54"/>
      <c r="W38" s="51"/>
      <c r="X38" s="54"/>
    </row>
    <row r="39" spans="1:24" ht="15" thickBot="1">
      <c r="A39" s="9" t="e">
        <f t="shared" si="1"/>
        <v>#REF!</v>
      </c>
      <c r="C39" s="60"/>
      <c r="D39" s="211" t="s">
        <v>19</v>
      </c>
      <c r="E39" s="25"/>
      <c r="F39" s="25"/>
      <c r="G39" s="31">
        <f>_xlfn.COMPOUNDVALUE(235)</f>
        <v>59290</v>
      </c>
      <c r="H39" s="32">
        <f>_xlfn.COMPOUNDVALUE(234)</f>
        <v>60934</v>
      </c>
      <c r="I39" s="33">
        <f>_xlfn.COMPOUNDVALUE(233)</f>
        <v>58103</v>
      </c>
      <c r="J39" s="137">
        <f>_xlfn.COMPOUNDVALUE(232)</f>
        <v>54307</v>
      </c>
      <c r="K39" s="31">
        <f>_xlfn.COMPOUNDVALUE(231)</f>
        <v>54209</v>
      </c>
      <c r="L39" s="32">
        <f>_xlfn.COMPOUNDVALUE(230)</f>
        <v>54577.5</v>
      </c>
      <c r="M39" s="33">
        <f>_xlfn.COMPOUNDVALUE(229)</f>
        <v>45988.5</v>
      </c>
      <c r="N39" s="34">
        <f>_xlfn.COMPOUNDVALUE(228)</f>
        <v>62326</v>
      </c>
      <c r="O39" s="31">
        <f>_xlfn.COMPOUNDVALUE(227)</f>
        <v>59645</v>
      </c>
      <c r="P39" s="32">
        <f>_xlfn.COMPOUNDVALUE(226)</f>
        <v>72762</v>
      </c>
      <c r="Q39" s="33">
        <f>_xlfn.COMPOUNDVALUE(225)</f>
        <v>70009</v>
      </c>
      <c r="R39" s="34">
        <f>_xlfn.COMPOUNDVALUE(224)</f>
        <v>61718</v>
      </c>
      <c r="S39" s="31">
        <f>_xlfn.COMPOUNDVALUE(223)</f>
        <v>56691</v>
      </c>
      <c r="T39" s="32">
        <f>_xlfn.COMPOUNDVALUE(222)</f>
        <v>61070</v>
      </c>
      <c r="U39" s="33">
        <f>_xlfn.COMPOUNDVALUE(348)</f>
        <v>61323</v>
      </c>
      <c r="V39" s="34">
        <f>_xlfn.COMPOUNDVALUE(468)</f>
        <v>46631</v>
      </c>
      <c r="W39" s="31">
        <f>_xlfn.COMPOUNDVALUE(495)</f>
        <v>46382</v>
      </c>
      <c r="X39" s="34">
        <f>_xlfn.COMPOUNDVALUE(520)</f>
        <v>37414</v>
      </c>
    </row>
    <row r="40" spans="1:24" ht="9" customHeight="1" thickBot="1">
      <c r="A40" s="9" t="e">
        <f t="shared" si="1"/>
        <v>#REF!</v>
      </c>
      <c r="D40" s="210"/>
      <c r="E40" s="25"/>
      <c r="F40" s="25"/>
      <c r="G40" s="51"/>
      <c r="H40" s="52"/>
      <c r="I40" s="53"/>
      <c r="J40" s="136"/>
      <c r="K40" s="51"/>
      <c r="L40" s="52"/>
      <c r="M40" s="53"/>
      <c r="N40" s="54"/>
      <c r="O40" s="51"/>
      <c r="P40" s="52"/>
      <c r="Q40" s="53"/>
      <c r="R40" s="54"/>
      <c r="S40" s="51"/>
      <c r="T40" s="52"/>
      <c r="U40" s="53"/>
      <c r="V40" s="54"/>
      <c r="W40" s="51"/>
      <c r="X40" s="54"/>
    </row>
    <row r="41" spans="1:24" ht="15" thickBot="1">
      <c r="A41" s="9" t="e">
        <f t="shared" si="1"/>
        <v>#REF!</v>
      </c>
      <c r="C41" s="60"/>
      <c r="D41" s="211" t="s">
        <v>20</v>
      </c>
      <c r="E41" s="25"/>
      <c r="F41" s="25"/>
      <c r="G41" s="31">
        <f>_xlfn.COMPOUNDVALUE(956)</f>
        <v>7733859.756559</v>
      </c>
      <c r="H41" s="32">
        <v>12167411.823733002</v>
      </c>
      <c r="I41" s="33">
        <v>17594050.816999998</v>
      </c>
      <c r="J41" s="137">
        <v>10478317.36</v>
      </c>
      <c r="K41" s="31">
        <v>9108729.17</v>
      </c>
      <c r="L41" s="32">
        <v>13447178.886666</v>
      </c>
      <c r="M41" s="33">
        <v>19557631.826666</v>
      </c>
      <c r="N41" s="34">
        <v>10940798.73</v>
      </c>
      <c r="O41" s="31">
        <v>9387455.26</v>
      </c>
      <c r="P41" s="32">
        <v>13971819.68</v>
      </c>
      <c r="Q41" s="33">
        <v>20948803.83</v>
      </c>
      <c r="R41" s="34">
        <v>11992736.8266</v>
      </c>
      <c r="S41" s="31">
        <v>9909029.55</v>
      </c>
      <c r="T41" s="32">
        <v>15253409.05</v>
      </c>
      <c r="U41" s="33">
        <v>21223259.29</v>
      </c>
      <c r="V41" s="34">
        <v>13616682.68333</v>
      </c>
      <c r="W41" s="31">
        <v>11636243.58</v>
      </c>
      <c r="X41" s="34">
        <v>17192320.96</v>
      </c>
    </row>
    <row r="42" spans="1:24" ht="14.25">
      <c r="A42" s="9" t="e">
        <f t="shared" si="1"/>
        <v>#REF!</v>
      </c>
      <c r="D42" s="213" t="s">
        <v>189</v>
      </c>
      <c r="E42" s="25"/>
      <c r="F42" s="25"/>
      <c r="G42" s="47">
        <f>_xlfn.COMPOUNDVALUE(956)</f>
        <v>2157649.939959</v>
      </c>
      <c r="H42" s="48">
        <v>2438102.863733</v>
      </c>
      <c r="I42" s="49">
        <v>3319026.377</v>
      </c>
      <c r="J42" s="135">
        <v>2662240.09</v>
      </c>
      <c r="K42" s="47">
        <v>2352019.05</v>
      </c>
      <c r="L42" s="48">
        <v>2647678.3166659996</v>
      </c>
      <c r="M42" s="49">
        <v>3678268.3066660003</v>
      </c>
      <c r="N42" s="50">
        <v>2887908.0300000003</v>
      </c>
      <c r="O42" s="47">
        <v>2732353.26</v>
      </c>
      <c r="P42" s="48">
        <v>2903084.7199999997</v>
      </c>
      <c r="Q42" s="49">
        <v>4289138.83</v>
      </c>
      <c r="R42" s="50">
        <v>3087670.8266000003</v>
      </c>
      <c r="S42" s="47">
        <v>2725660.04</v>
      </c>
      <c r="T42" s="48">
        <v>3004171.8899999997</v>
      </c>
      <c r="U42" s="49">
        <v>4059075.29</v>
      </c>
      <c r="V42" s="50">
        <v>3377096.75</v>
      </c>
      <c r="W42" s="47">
        <v>3184643.5799999996</v>
      </c>
      <c r="X42" s="50">
        <v>3237164.96</v>
      </c>
    </row>
    <row r="43" spans="1:24" ht="14.25">
      <c r="A43" s="9" t="e">
        <f t="shared" si="1"/>
        <v>#REF!</v>
      </c>
      <c r="D43" s="210" t="s">
        <v>21</v>
      </c>
      <c r="E43" s="25"/>
      <c r="F43" s="25"/>
      <c r="G43" s="51">
        <f>_xlfn.COMPOUNDVALUE(956)</f>
        <v>1287377.426641</v>
      </c>
      <c r="H43" s="52">
        <v>1436305.617</v>
      </c>
      <c r="I43" s="53">
        <v>1928920.9</v>
      </c>
      <c r="J43" s="136">
        <v>1549815.56</v>
      </c>
      <c r="K43" s="51">
        <v>1361875.73</v>
      </c>
      <c r="L43" s="52">
        <v>1511058.426667</v>
      </c>
      <c r="M43" s="53">
        <v>2066303.568333</v>
      </c>
      <c r="N43" s="54">
        <v>1598552.14</v>
      </c>
      <c r="O43" s="51">
        <v>1536754.8</v>
      </c>
      <c r="P43" s="52">
        <v>1613697.21</v>
      </c>
      <c r="Q43" s="53">
        <v>2512853.55</v>
      </c>
      <c r="R43" s="54">
        <v>1657016.7966</v>
      </c>
      <c r="S43" s="51">
        <v>1445119.96</v>
      </c>
      <c r="T43" s="52">
        <v>1577299.63</v>
      </c>
      <c r="U43" s="53">
        <v>2148211.06</v>
      </c>
      <c r="V43" s="54">
        <v>1852392.96</v>
      </c>
      <c r="W43" s="51">
        <v>1757722.8499999999</v>
      </c>
      <c r="X43" s="54">
        <v>1911541.87</v>
      </c>
    </row>
    <row r="44" spans="1:24" ht="14.25">
      <c r="A44" s="9" t="e">
        <f t="shared" si="1"/>
        <v>#REF!</v>
      </c>
      <c r="D44" s="210" t="s">
        <v>22</v>
      </c>
      <c r="E44" s="25"/>
      <c r="F44" s="25"/>
      <c r="G44" s="51">
        <f>_xlfn.COMPOUNDVALUE(964)</f>
        <v>870272.5133180001</v>
      </c>
      <c r="H44" s="52">
        <v>1001797.246733</v>
      </c>
      <c r="I44" s="53">
        <v>1390105.477</v>
      </c>
      <c r="J44" s="136">
        <v>1112424.53</v>
      </c>
      <c r="K44" s="51">
        <v>990143.32</v>
      </c>
      <c r="L44" s="52">
        <v>1136619.889999</v>
      </c>
      <c r="M44" s="53">
        <v>1611964.7383330003</v>
      </c>
      <c r="N44" s="54">
        <v>1289355.8900000001</v>
      </c>
      <c r="O44" s="51">
        <v>1195598.46</v>
      </c>
      <c r="P44" s="52">
        <v>1289387.51</v>
      </c>
      <c r="Q44" s="53">
        <v>1776285.28</v>
      </c>
      <c r="R44" s="54">
        <v>1430654.03</v>
      </c>
      <c r="S44" s="51">
        <v>1280540.08</v>
      </c>
      <c r="T44" s="52">
        <v>1426872.26</v>
      </c>
      <c r="U44" s="53">
        <v>1910864.23</v>
      </c>
      <c r="V44" s="54">
        <v>1524703.79</v>
      </c>
      <c r="W44" s="51">
        <v>1426920.7299999997</v>
      </c>
      <c r="X44" s="54">
        <v>1325623.0899999999</v>
      </c>
    </row>
    <row r="45" spans="1:24" ht="5.25" customHeight="1">
      <c r="A45" s="9" t="e">
        <f t="shared" si="1"/>
        <v>#REF!</v>
      </c>
      <c r="D45" s="210"/>
      <c r="E45" s="25"/>
      <c r="F45" s="25"/>
      <c r="G45" s="24"/>
      <c r="H45" s="25"/>
      <c r="I45" s="25"/>
      <c r="J45" s="25"/>
      <c r="K45" s="24"/>
      <c r="L45" s="25"/>
      <c r="M45" s="25"/>
      <c r="N45" s="26"/>
      <c r="O45" s="24"/>
      <c r="P45" s="25"/>
      <c r="Q45" s="25"/>
      <c r="R45" s="26"/>
      <c r="S45" s="24"/>
      <c r="T45" s="25"/>
      <c r="U45" s="25"/>
      <c r="V45" s="26"/>
      <c r="W45" s="24"/>
      <c r="X45" s="26"/>
    </row>
    <row r="46" spans="1:24" ht="14.25">
      <c r="A46" s="9" t="e">
        <f t="shared" si="1"/>
        <v>#REF!</v>
      </c>
      <c r="D46" s="213" t="s">
        <v>190</v>
      </c>
      <c r="E46" s="25"/>
      <c r="F46" s="25"/>
      <c r="G46" s="47">
        <f>_xlfn.COMPOUNDVALUE(941)</f>
        <v>5576209.8166000005</v>
      </c>
      <c r="H46" s="48">
        <v>9729308.96</v>
      </c>
      <c r="I46" s="49">
        <v>14275024.44</v>
      </c>
      <c r="J46" s="135">
        <v>7816077.27</v>
      </c>
      <c r="K46" s="47">
        <v>6756710.12</v>
      </c>
      <c r="L46" s="48">
        <v>10799500.57</v>
      </c>
      <c r="M46" s="49">
        <v>15879363.52</v>
      </c>
      <c r="N46" s="50">
        <v>8052890.699999999</v>
      </c>
      <c r="O46" s="47">
        <v>6655102</v>
      </c>
      <c r="P46" s="48">
        <v>11068734.96</v>
      </c>
      <c r="Q46" s="49">
        <v>16659665</v>
      </c>
      <c r="R46" s="50">
        <v>8905066</v>
      </c>
      <c r="S46" s="47">
        <v>7183369.51</v>
      </c>
      <c r="T46" s="48">
        <v>12249237.16</v>
      </c>
      <c r="U46" s="49">
        <v>17164184</v>
      </c>
      <c r="V46" s="50">
        <v>10239585.93333</v>
      </c>
      <c r="W46" s="47">
        <v>8451600</v>
      </c>
      <c r="X46" s="50">
        <v>13955156</v>
      </c>
    </row>
    <row r="47" spans="1:24" ht="14.25">
      <c r="A47" s="9" t="e">
        <f t="shared" si="1"/>
        <v>#REF!</v>
      </c>
      <c r="D47" s="210" t="s">
        <v>21</v>
      </c>
      <c r="E47" s="25"/>
      <c r="F47" s="25"/>
      <c r="G47" s="51">
        <f>_xlfn.COMPOUNDVALUE(941)</f>
        <v>3327211.7333</v>
      </c>
      <c r="H47" s="52">
        <v>6062529.96</v>
      </c>
      <c r="I47" s="53">
        <v>8525257.44</v>
      </c>
      <c r="J47" s="136">
        <v>4355157.27</v>
      </c>
      <c r="K47" s="51">
        <v>3795597.12</v>
      </c>
      <c r="L47" s="52">
        <v>5973902.07</v>
      </c>
      <c r="M47" s="53">
        <v>8393949.52</v>
      </c>
      <c r="N47" s="54">
        <v>4271132.93</v>
      </c>
      <c r="O47" s="51">
        <v>3440434</v>
      </c>
      <c r="P47" s="52">
        <v>5858450.14</v>
      </c>
      <c r="Q47" s="53">
        <v>8469340</v>
      </c>
      <c r="R47" s="54">
        <v>4569151</v>
      </c>
      <c r="S47" s="51">
        <v>3585269.51</v>
      </c>
      <c r="T47" s="52">
        <v>6379565.16</v>
      </c>
      <c r="U47" s="53">
        <v>8839951</v>
      </c>
      <c r="V47" s="54">
        <v>5325684.03333</v>
      </c>
      <c r="W47" s="51">
        <v>4384774</v>
      </c>
      <c r="X47" s="54">
        <v>7639561</v>
      </c>
    </row>
    <row r="48" spans="1:24" ht="14.25">
      <c r="A48" s="9" t="e">
        <f t="shared" si="1"/>
        <v>#REF!</v>
      </c>
      <c r="D48" s="210" t="s">
        <v>22</v>
      </c>
      <c r="E48" s="25"/>
      <c r="F48" s="25"/>
      <c r="G48" s="51">
        <f>_xlfn.COMPOUNDVALUE(963)</f>
        <v>2248998.0833</v>
      </c>
      <c r="H48" s="52">
        <v>3666779</v>
      </c>
      <c r="I48" s="53">
        <v>5749767</v>
      </c>
      <c r="J48" s="136">
        <v>3460920</v>
      </c>
      <c r="K48" s="51">
        <v>2961113</v>
      </c>
      <c r="L48" s="52">
        <v>4825598.5</v>
      </c>
      <c r="M48" s="53">
        <v>7485414</v>
      </c>
      <c r="N48" s="54">
        <v>3781757.77</v>
      </c>
      <c r="O48" s="51">
        <v>3214668</v>
      </c>
      <c r="P48" s="52">
        <v>5210284.82</v>
      </c>
      <c r="Q48" s="53">
        <v>8190325</v>
      </c>
      <c r="R48" s="54">
        <v>4335915</v>
      </c>
      <c r="S48" s="51">
        <v>3598100</v>
      </c>
      <c r="T48" s="52">
        <v>5869672</v>
      </c>
      <c r="U48" s="53">
        <v>8324233</v>
      </c>
      <c r="V48" s="54">
        <v>4913901.9</v>
      </c>
      <c r="W48" s="51">
        <v>4066826</v>
      </c>
      <c r="X48" s="54">
        <v>6315595</v>
      </c>
    </row>
    <row r="49" spans="1:24" ht="11.25" customHeight="1" thickBot="1">
      <c r="A49" s="9" t="e">
        <f t="shared" si="1"/>
        <v>#REF!</v>
      </c>
      <c r="D49" s="210"/>
      <c r="E49" s="25"/>
      <c r="F49" s="25"/>
      <c r="G49" s="244"/>
      <c r="H49" s="125"/>
      <c r="I49" s="126"/>
      <c r="J49" s="126"/>
      <c r="K49" s="244"/>
      <c r="L49" s="125"/>
      <c r="M49" s="126"/>
      <c r="N49" s="127"/>
      <c r="O49" s="244"/>
      <c r="P49" s="125"/>
      <c r="Q49" s="126"/>
      <c r="R49" s="245"/>
      <c r="S49" s="245"/>
      <c r="T49" s="125"/>
      <c r="U49" s="126"/>
      <c r="V49" s="127"/>
      <c r="W49" s="244"/>
      <c r="X49" s="245"/>
    </row>
    <row r="50" spans="1:24" ht="15" thickBot="1">
      <c r="A50" s="9" t="e">
        <f t="shared" si="1"/>
        <v>#REF!</v>
      </c>
      <c r="C50" s="60"/>
      <c r="D50" s="211" t="s">
        <v>23</v>
      </c>
      <c r="E50" s="25"/>
      <c r="F50" s="25"/>
      <c r="G50" s="68">
        <f>_xlfn.COMPOUNDVALUE(960)</f>
        <v>51.33301314905564</v>
      </c>
      <c r="H50" s="69">
        <f>_xlfn.COMPOUNDVALUE(1051)</f>
        <v>52.959103464931204</v>
      </c>
      <c r="I50" s="70">
        <f>_xlfn.COMPOUNDVALUE(1072)</f>
        <v>53.32400687532389</v>
      </c>
      <c r="J50" s="139">
        <f>_xlfn.COMPOUNDVALUE(1096)</f>
        <v>46.41694660743302</v>
      </c>
      <c r="K50" s="68">
        <f>_xlfn.COMPOUNDVALUE(763)</f>
        <v>46.84642149569303</v>
      </c>
      <c r="L50" s="69">
        <f>_xlfn.COMPOUNDVALUE(814)</f>
        <v>48.50596756213592</v>
      </c>
      <c r="M50" s="70">
        <f>_xlfn.COMPOUNDVALUE(733)</f>
        <v>46.46358593682425</v>
      </c>
      <c r="N50" s="71">
        <f>_xlfn.COMPOUNDVALUE(691)</f>
        <v>46.67577099187092</v>
      </c>
      <c r="O50" s="68">
        <f>_xlfn.COMPOUNDVALUE(986)</f>
        <v>40.86938992355996</v>
      </c>
      <c r="P50" s="69">
        <f>_xlfn.COMPOUNDVALUE(855)</f>
        <v>42.497873041265095</v>
      </c>
      <c r="Q50" s="70">
        <f>_xlfn.COMPOUNDVALUE(927)</f>
        <v>43.766518052204646</v>
      </c>
      <c r="R50" s="71">
        <f>_xlfn.COMPOUNDVALUE(587)</f>
        <v>42.212203083300636</v>
      </c>
      <c r="S50" s="68">
        <f>_xlfn.COMPOUNDVALUE(809)</f>
        <v>41.08094680511892</v>
      </c>
      <c r="T50" s="69">
        <f>_xlfn.COMPOUNDVALUE(1003)</f>
        <v>41.757349391181855</v>
      </c>
      <c r="U50" s="70">
        <f>_xlfn.COMPOUNDVALUE(772)</f>
        <v>43.37906562697129</v>
      </c>
      <c r="V50" s="71">
        <f>_xlfn.COMPOUNDVALUE(658)</f>
        <v>40.16855020985066</v>
      </c>
      <c r="W50" s="68">
        <f>_xlfn.COMPOUNDVALUE(900)</f>
        <v>40.84924295105398</v>
      </c>
      <c r="X50" s="71">
        <f>_xlfn.COMPOUNDVALUE(878)</f>
        <v>43.959680132940676</v>
      </c>
    </row>
    <row r="51" spans="1:24" ht="7.5" customHeight="1" thickBot="1">
      <c r="A51" s="9" t="e">
        <f t="shared" si="1"/>
        <v>#REF!</v>
      </c>
      <c r="D51" s="210"/>
      <c r="E51" s="25"/>
      <c r="F51" s="25"/>
      <c r="G51" s="72"/>
      <c r="H51" s="73"/>
      <c r="I51" s="74"/>
      <c r="J51" s="140"/>
      <c r="K51" s="72"/>
      <c r="L51" s="73"/>
      <c r="M51" s="74"/>
      <c r="N51" s="75"/>
      <c r="O51" s="72"/>
      <c r="P51" s="73"/>
      <c r="Q51" s="74"/>
      <c r="R51" s="75"/>
      <c r="S51" s="72"/>
      <c r="T51" s="73"/>
      <c r="U51" s="74"/>
      <c r="V51" s="75"/>
      <c r="W51" s="72"/>
      <c r="X51" s="75"/>
    </row>
    <row r="52" spans="1:24" ht="15" thickBot="1">
      <c r="A52" s="9" t="e">
        <f t="shared" si="1"/>
        <v>#REF!</v>
      </c>
      <c r="C52" s="60"/>
      <c r="D52" s="211" t="s">
        <v>24</v>
      </c>
      <c r="E52" s="25"/>
      <c r="F52" s="25"/>
      <c r="G52" s="76">
        <f>_xlfn.COMPOUNDVALUE(291)</f>
        <v>1.046569537317822</v>
      </c>
      <c r="H52" s="77">
        <f>_xlfn.COMPOUNDVALUE(290)</f>
        <v>1.0592224329515303</v>
      </c>
      <c r="I52" s="78">
        <f>_xlfn.COMPOUNDVALUE(289)</f>
        <v>1.0982005835033812</v>
      </c>
      <c r="J52" s="141">
        <f>_xlfn.COMPOUNDVALUE(288)</f>
        <v>1.0972572122216389</v>
      </c>
      <c r="K52" s="76">
        <f>_xlfn.COMPOUNDVALUE(287)</f>
        <v>1.1165911618435052</v>
      </c>
      <c r="L52" s="77">
        <f>_xlfn.COMPOUNDVALUE(286)</f>
        <v>1.182483507917643</v>
      </c>
      <c r="M52" s="78">
        <f>_xlfn.COMPOUNDVALUE(285)</f>
        <v>1.2644163488681885</v>
      </c>
      <c r="N52" s="79">
        <f>_xlfn.COMPOUNDVALUE(284)</f>
        <v>1.2538703708154093</v>
      </c>
      <c r="O52" s="76">
        <f>_xlfn.COMPOUNDVALUE(283)</f>
        <v>1.2520768905706767</v>
      </c>
      <c r="P52" s="77">
        <f>_xlfn.COMPOUNDVALUE(282)</f>
        <v>1.3013205714080098</v>
      </c>
      <c r="Q52" s="78">
        <f>_xlfn.COMPOUNDVALUE(281)</f>
        <v>1.2995256960572137</v>
      </c>
      <c r="R52" s="79">
        <f>_xlfn.COMPOUNDVALUE(280)</f>
        <v>1.2744313011828936</v>
      </c>
      <c r="S52" s="76">
        <f>_xlfn.COMPOUNDVALUE(279)</f>
        <v>1.2817110157232183</v>
      </c>
      <c r="T52" s="77">
        <f>_xlfn.COMPOUNDVALUE(278)</f>
        <v>1.310196185878207</v>
      </c>
      <c r="U52" s="78">
        <f>_xlfn.COMPOUNDVALUE(350)</f>
        <v>1.3436032414422014</v>
      </c>
      <c r="V52" s="79">
        <f>_xlfn.COMPOUNDVALUE(459)</f>
        <v>1.3085870648637465</v>
      </c>
      <c r="W52" s="76">
        <f>_xlfn.COMPOUNDVALUE(494)</f>
        <v>1.2545284351004453</v>
      </c>
      <c r="X52" s="79">
        <f>_xlfn.COMPOUNDVALUE(516)</f>
        <v>1.2833502685440557</v>
      </c>
    </row>
    <row r="53" spans="1:24" ht="7.5" customHeight="1" thickBot="1">
      <c r="A53" s="9" t="e">
        <f t="shared" si="1"/>
        <v>#REF!</v>
      </c>
      <c r="D53" s="210"/>
      <c r="E53" s="25"/>
      <c r="F53" s="25"/>
      <c r="G53" s="72"/>
      <c r="H53" s="73"/>
      <c r="I53" s="74"/>
      <c r="J53" s="140"/>
      <c r="K53" s="72"/>
      <c r="L53" s="73"/>
      <c r="M53" s="74"/>
      <c r="N53" s="75"/>
      <c r="O53" s="72"/>
      <c r="P53" s="73"/>
      <c r="Q53" s="74"/>
      <c r="R53" s="75"/>
      <c r="S53" s="72"/>
      <c r="T53" s="73"/>
      <c r="U53" s="74"/>
      <c r="V53" s="75"/>
      <c r="W53" s="72"/>
      <c r="X53" s="75"/>
    </row>
    <row r="54" spans="1:24" ht="15" thickBot="1">
      <c r="A54" s="9" t="e">
        <f t="shared" si="1"/>
        <v>#REF!</v>
      </c>
      <c r="C54" s="60"/>
      <c r="D54" s="132" t="s">
        <v>25</v>
      </c>
      <c r="E54" s="25"/>
      <c r="F54" s="25"/>
      <c r="G54" s="128">
        <f>_xlfn.COMPOUNDVALUE(940)</f>
        <v>11621</v>
      </c>
      <c r="H54" s="129">
        <f>_xlfn.COMPOUNDVALUE(1050)</f>
        <v>12893</v>
      </c>
      <c r="I54" s="130">
        <f>_xlfn.COMPOUNDVALUE(1075)</f>
        <v>13932</v>
      </c>
      <c r="J54" s="142">
        <f>_xlfn.COMPOUNDVALUE(1095)</f>
        <v>15651</v>
      </c>
      <c r="K54" s="128">
        <f>_xlfn.COMPOUNDVALUE(760)</f>
        <v>13633</v>
      </c>
      <c r="L54" s="129">
        <f>_xlfn.COMPOUNDVALUE(817)</f>
        <v>15101</v>
      </c>
      <c r="M54" s="130">
        <f>_xlfn.COMPOUNDVALUE(745)</f>
        <v>16878</v>
      </c>
      <c r="N54" s="131">
        <f>_xlfn.COMPOUNDVALUE(689)</f>
        <v>15308</v>
      </c>
      <c r="O54" s="128">
        <f>_xlfn.COMPOUNDVALUE(976)</f>
        <v>13106</v>
      </c>
      <c r="P54" s="129">
        <f>_xlfn.COMPOUNDVALUE(854)</f>
        <v>13431</v>
      </c>
      <c r="Q54" s="130">
        <f>_xlfn.COMPOUNDVALUE(931)</f>
        <v>12790</v>
      </c>
      <c r="R54" s="131">
        <f>_xlfn.COMPOUNDVALUE(586)</f>
        <v>11543</v>
      </c>
      <c r="S54" s="128">
        <f>_xlfn.COMPOUNDVALUE(806)</f>
        <v>9179</v>
      </c>
      <c r="T54" s="129">
        <f>_xlfn.COMPOUNDVALUE(1002)</f>
        <v>10314</v>
      </c>
      <c r="U54" s="130">
        <f>_xlfn.COMPOUNDVALUE(789)</f>
        <v>10968</v>
      </c>
      <c r="V54" s="131">
        <f>_xlfn.COMPOUNDVALUE(657)</f>
        <v>10860</v>
      </c>
      <c r="W54" s="128">
        <f>_xlfn.COMPOUNDVALUE(887)</f>
        <v>9886</v>
      </c>
      <c r="X54" s="131">
        <f>_xlfn.COMPOUNDVALUE(877)</f>
        <v>8479</v>
      </c>
    </row>
    <row r="55" spans="1:24" ht="16.5" customHeight="1" thickBot="1">
      <c r="A55" s="9" t="e">
        <f t="shared" si="1"/>
        <v>#REF!</v>
      </c>
      <c r="D55" s="24"/>
      <c r="E55" s="25"/>
      <c r="F55" s="25"/>
      <c r="G55" s="25"/>
      <c r="H55" s="25"/>
      <c r="I55" s="25"/>
      <c r="J55" s="25"/>
      <c r="K55" s="25"/>
      <c r="L55" s="25"/>
      <c r="M55" s="25"/>
      <c r="N55" s="25"/>
      <c r="O55" s="25"/>
      <c r="P55" s="25"/>
      <c r="Q55" s="25"/>
      <c r="R55" s="25"/>
      <c r="S55" s="25"/>
      <c r="T55" s="25"/>
      <c r="U55" s="25"/>
      <c r="V55" s="25"/>
      <c r="W55" s="25"/>
      <c r="X55" s="26"/>
    </row>
    <row r="56" spans="1:24" ht="20.25" thickBot="1">
      <c r="A56" s="9" t="e">
        <f t="shared" si="1"/>
        <v>#REF!</v>
      </c>
      <c r="C56" s="10"/>
      <c r="D56" s="259" t="s">
        <v>185</v>
      </c>
      <c r="E56" s="260"/>
      <c r="F56" s="260"/>
      <c r="G56" s="260"/>
      <c r="H56" s="260"/>
      <c r="I56" s="260"/>
      <c r="J56" s="260"/>
      <c r="K56" s="260"/>
      <c r="L56" s="260"/>
      <c r="M56" s="260"/>
      <c r="N56" s="260"/>
      <c r="O56" s="260"/>
      <c r="P56" s="260"/>
      <c r="Q56" s="260"/>
      <c r="R56" s="260"/>
      <c r="S56" s="260"/>
      <c r="T56" s="260"/>
      <c r="U56" s="260"/>
      <c r="V56" s="260"/>
      <c r="W56" s="260"/>
      <c r="X56" s="261"/>
    </row>
    <row r="57" spans="1:24" ht="15" thickBot="1">
      <c r="A57" s="9" t="e">
        <f t="shared" si="1"/>
        <v>#REF!</v>
      </c>
      <c r="C57" s="60"/>
      <c r="D57" s="115" t="s">
        <v>1</v>
      </c>
      <c r="E57" s="11"/>
      <c r="F57" s="20">
        <f>_xlfn.COMPOUNDVALUE(1099)</f>
        <v>246890</v>
      </c>
      <c r="G57" s="117">
        <f>_xlfn.COMPOUNDVALUE(955)</f>
        <v>247186</v>
      </c>
      <c r="H57" s="118">
        <v>246345</v>
      </c>
      <c r="I57" s="119">
        <v>245861</v>
      </c>
      <c r="J57" s="120">
        <v>247635</v>
      </c>
      <c r="K57" s="117">
        <v>245708</v>
      </c>
      <c r="L57" s="118">
        <v>242873</v>
      </c>
      <c r="M57" s="119">
        <v>237599</v>
      </c>
      <c r="N57" s="120">
        <v>232203</v>
      </c>
      <c r="O57" s="117">
        <v>231243</v>
      </c>
      <c r="P57" s="118">
        <v>233159</v>
      </c>
      <c r="Q57" s="119">
        <v>234097</v>
      </c>
      <c r="R57" s="120">
        <v>229740</v>
      </c>
      <c r="S57" s="117">
        <v>229337</v>
      </c>
      <c r="T57" s="118">
        <v>229919</v>
      </c>
      <c r="U57" s="119">
        <v>230760</v>
      </c>
      <c r="V57" s="120">
        <v>231331</v>
      </c>
      <c r="W57" s="117">
        <v>230413</v>
      </c>
      <c r="X57" s="120">
        <v>232469</v>
      </c>
    </row>
    <row r="58" spans="1:24" s="16" customFormat="1" ht="14.25">
      <c r="A58" s="9" t="e">
        <f t="shared" si="1"/>
        <v>#REF!</v>
      </c>
      <c r="B58" s="13"/>
      <c r="C58" s="13"/>
      <c r="D58" s="210" t="s">
        <v>26</v>
      </c>
      <c r="E58" s="25"/>
      <c r="F58" s="23"/>
      <c r="G58" s="51">
        <v>189594</v>
      </c>
      <c r="H58" s="52">
        <v>188966</v>
      </c>
      <c r="I58" s="53">
        <v>189469</v>
      </c>
      <c r="J58" s="54">
        <v>190796</v>
      </c>
      <c r="K58" s="51">
        <v>188422</v>
      </c>
      <c r="L58" s="52">
        <v>184599</v>
      </c>
      <c r="M58" s="53">
        <v>177994</v>
      </c>
      <c r="N58" s="54">
        <v>170673</v>
      </c>
      <c r="O58" s="51">
        <v>169281</v>
      </c>
      <c r="P58" s="52">
        <v>168620</v>
      </c>
      <c r="Q58" s="53">
        <v>168370</v>
      </c>
      <c r="R58" s="54">
        <v>163265</v>
      </c>
      <c r="S58" s="51">
        <v>162335</v>
      </c>
      <c r="T58" s="52">
        <v>161682</v>
      </c>
      <c r="U58" s="53">
        <v>161262</v>
      </c>
      <c r="V58" s="54">
        <v>161570</v>
      </c>
      <c r="W58" s="51">
        <v>159348</v>
      </c>
      <c r="X58" s="54">
        <v>155137</v>
      </c>
    </row>
    <row r="59" spans="1:24" s="16" customFormat="1" ht="14.25">
      <c r="A59" s="9" t="e">
        <f t="shared" si="1"/>
        <v>#REF!</v>
      </c>
      <c r="B59" s="13"/>
      <c r="C59" s="13"/>
      <c r="D59" s="210" t="s">
        <v>27</v>
      </c>
      <c r="E59" s="25"/>
      <c r="F59" s="23"/>
      <c r="G59" s="51">
        <f>_xlfn.COMPOUNDVALUE(959)</f>
        <v>55837</v>
      </c>
      <c r="H59" s="52">
        <v>55541</v>
      </c>
      <c r="I59" s="53">
        <v>54636</v>
      </c>
      <c r="J59" s="54">
        <v>54970</v>
      </c>
      <c r="K59" s="51">
        <v>55470</v>
      </c>
      <c r="L59" s="52">
        <v>56517</v>
      </c>
      <c r="M59" s="53">
        <v>57906</v>
      </c>
      <c r="N59" s="54">
        <v>59838</v>
      </c>
      <c r="O59" s="51">
        <v>60296</v>
      </c>
      <c r="P59" s="52">
        <v>62897</v>
      </c>
      <c r="Q59" s="53">
        <v>64109</v>
      </c>
      <c r="R59" s="54">
        <v>64948</v>
      </c>
      <c r="S59" s="51">
        <v>65629</v>
      </c>
      <c r="T59" s="52">
        <v>66852</v>
      </c>
      <c r="U59" s="53">
        <v>68127</v>
      </c>
      <c r="V59" s="54">
        <v>68420</v>
      </c>
      <c r="W59" s="51">
        <v>69605</v>
      </c>
      <c r="X59" s="54">
        <v>75934</v>
      </c>
    </row>
    <row r="60" spans="1:24" s="16" customFormat="1" ht="14.25">
      <c r="A60" s="9" t="e">
        <f t="shared" si="1"/>
        <v>#REF!</v>
      </c>
      <c r="B60" s="13"/>
      <c r="C60" s="13"/>
      <c r="D60" s="210" t="s">
        <v>28</v>
      </c>
      <c r="E60" s="25"/>
      <c r="F60" s="23"/>
      <c r="G60" s="51">
        <v>557</v>
      </c>
      <c r="H60" s="52">
        <v>586</v>
      </c>
      <c r="I60" s="53">
        <v>601</v>
      </c>
      <c r="J60" s="54">
        <v>671</v>
      </c>
      <c r="K60" s="51">
        <v>689</v>
      </c>
      <c r="L60" s="52">
        <v>645</v>
      </c>
      <c r="M60" s="53">
        <v>599</v>
      </c>
      <c r="N60" s="54">
        <v>544</v>
      </c>
      <c r="O60" s="51">
        <v>510</v>
      </c>
      <c r="P60" s="52">
        <v>498</v>
      </c>
      <c r="Q60" s="53">
        <v>479</v>
      </c>
      <c r="R60" s="54">
        <v>346</v>
      </c>
      <c r="S60" s="51">
        <v>320</v>
      </c>
      <c r="T60" s="52">
        <v>347</v>
      </c>
      <c r="U60" s="53">
        <v>338</v>
      </c>
      <c r="V60" s="54">
        <v>321</v>
      </c>
      <c r="W60" s="51">
        <v>394</v>
      </c>
      <c r="X60" s="54">
        <v>314</v>
      </c>
    </row>
    <row r="61" spans="1:24" s="16" customFormat="1" ht="14.25">
      <c r="A61" s="9" t="e">
        <f t="shared" si="1"/>
        <v>#REF!</v>
      </c>
      <c r="B61" s="13"/>
      <c r="C61" s="13"/>
      <c r="D61" s="210" t="s">
        <v>29</v>
      </c>
      <c r="E61" s="25"/>
      <c r="F61" s="23"/>
      <c r="G61" s="51">
        <v>1056</v>
      </c>
      <c r="H61" s="52">
        <v>1094</v>
      </c>
      <c r="I61" s="53">
        <v>988</v>
      </c>
      <c r="J61" s="54">
        <v>1021</v>
      </c>
      <c r="K61" s="51">
        <v>950</v>
      </c>
      <c r="L61" s="52">
        <v>921</v>
      </c>
      <c r="M61" s="53">
        <v>902</v>
      </c>
      <c r="N61" s="54">
        <v>943</v>
      </c>
      <c r="O61" s="51">
        <v>948</v>
      </c>
      <c r="P61" s="52">
        <v>936</v>
      </c>
      <c r="Q61" s="53">
        <v>928</v>
      </c>
      <c r="R61" s="54">
        <v>963</v>
      </c>
      <c r="S61" s="51">
        <v>833</v>
      </c>
      <c r="T61" s="52">
        <v>814</v>
      </c>
      <c r="U61" s="53">
        <v>804</v>
      </c>
      <c r="V61" s="54">
        <v>790</v>
      </c>
      <c r="W61" s="51">
        <v>805</v>
      </c>
      <c r="X61" s="54">
        <v>822</v>
      </c>
    </row>
    <row r="62" spans="1:24" s="16" customFormat="1" ht="14.25">
      <c r="A62" s="9" t="e">
        <f t="shared" si="1"/>
        <v>#REF!</v>
      </c>
      <c r="B62" s="13"/>
      <c r="C62" s="13"/>
      <c r="D62" s="210" t="s">
        <v>30</v>
      </c>
      <c r="E62" s="25"/>
      <c r="F62" s="23"/>
      <c r="G62" s="51">
        <v>142</v>
      </c>
      <c r="H62" s="52">
        <v>158</v>
      </c>
      <c r="I62" s="53">
        <v>167</v>
      </c>
      <c r="J62" s="54">
        <v>177</v>
      </c>
      <c r="K62" s="51">
        <v>177</v>
      </c>
      <c r="L62" s="52">
        <v>191</v>
      </c>
      <c r="M62" s="53">
        <v>198</v>
      </c>
      <c r="N62" s="54">
        <v>205</v>
      </c>
      <c r="O62" s="51">
        <v>208</v>
      </c>
      <c r="P62" s="52">
        <v>208</v>
      </c>
      <c r="Q62" s="53">
        <v>211</v>
      </c>
      <c r="R62" s="54">
        <v>218</v>
      </c>
      <c r="S62" s="51">
        <v>220</v>
      </c>
      <c r="T62" s="52">
        <v>224</v>
      </c>
      <c r="U62" s="53">
        <v>229</v>
      </c>
      <c r="V62" s="54">
        <v>230</v>
      </c>
      <c r="W62" s="51">
        <v>226</v>
      </c>
      <c r="X62" s="54">
        <v>227</v>
      </c>
    </row>
    <row r="63" spans="1:24" s="16" customFormat="1" ht="14.25">
      <c r="A63" s="9" t="e">
        <f>A62+1</f>
        <v>#REF!</v>
      </c>
      <c r="B63" s="13"/>
      <c r="C63" s="13"/>
      <c r="D63" s="210" t="s">
        <v>31</v>
      </c>
      <c r="E63" s="25"/>
      <c r="F63" s="23"/>
      <c r="G63" s="51">
        <v>0</v>
      </c>
      <c r="H63" s="52">
        <v>0</v>
      </c>
      <c r="I63" s="52">
        <v>0</v>
      </c>
      <c r="J63" s="54">
        <v>0</v>
      </c>
      <c r="K63" s="51">
        <v>0</v>
      </c>
      <c r="L63" s="52">
        <v>0</v>
      </c>
      <c r="M63" s="52">
        <v>0</v>
      </c>
      <c r="N63" s="54">
        <v>0</v>
      </c>
      <c r="O63" s="51">
        <v>0</v>
      </c>
      <c r="P63" s="52">
        <v>0</v>
      </c>
      <c r="Q63" s="52">
        <v>0</v>
      </c>
      <c r="R63" s="54">
        <v>0</v>
      </c>
      <c r="S63" s="51">
        <v>0</v>
      </c>
      <c r="T63" s="52">
        <v>0</v>
      </c>
      <c r="U63" s="52">
        <v>0</v>
      </c>
      <c r="V63" s="54">
        <v>0</v>
      </c>
      <c r="W63" s="51">
        <v>35</v>
      </c>
      <c r="X63" s="246">
        <v>35</v>
      </c>
    </row>
    <row r="64" spans="1:24" s="16" customFormat="1" ht="8.25" customHeight="1" thickBot="1">
      <c r="A64" s="9" t="e">
        <f>A63+1</f>
        <v>#REF!</v>
      </c>
      <c r="B64" s="13"/>
      <c r="C64" s="13"/>
      <c r="D64" s="143"/>
      <c r="E64" s="14"/>
      <c r="F64" s="23"/>
      <c r="G64" s="144"/>
      <c r="H64" s="23"/>
      <c r="I64" s="23"/>
      <c r="J64" s="145"/>
      <c r="K64" s="144"/>
      <c r="L64" s="23"/>
      <c r="M64" s="23"/>
      <c r="N64" s="145"/>
      <c r="O64" s="144"/>
      <c r="P64" s="23"/>
      <c r="Q64" s="23"/>
      <c r="R64" s="145"/>
      <c r="S64" s="144"/>
      <c r="T64" s="23"/>
      <c r="U64" s="23"/>
      <c r="V64" s="145"/>
      <c r="W64" s="144"/>
      <c r="X64" s="145"/>
    </row>
    <row r="65" spans="1:24" ht="15" thickBot="1">
      <c r="A65" s="9" t="e">
        <f aca="true" t="shared" si="2" ref="A65:A123">A64+1</f>
        <v>#REF!</v>
      </c>
      <c r="D65" s="213" t="s">
        <v>191</v>
      </c>
      <c r="E65" s="25"/>
      <c r="F65" s="20">
        <f>_xlfn.COMPOUNDVALUE(1099)</f>
        <v>55305</v>
      </c>
      <c r="G65" s="47">
        <f>_xlfn.COMPOUNDVALUE(955)</f>
        <v>55607</v>
      </c>
      <c r="H65" s="48">
        <v>55939</v>
      </c>
      <c r="I65" s="49">
        <v>55941</v>
      </c>
      <c r="J65" s="50">
        <v>56029</v>
      </c>
      <c r="K65" s="47">
        <v>54973</v>
      </c>
      <c r="L65" s="48">
        <v>51548</v>
      </c>
      <c r="M65" s="49">
        <v>45240</v>
      </c>
      <c r="N65" s="50">
        <v>40027</v>
      </c>
      <c r="O65" s="47">
        <v>40242</v>
      </c>
      <c r="P65" s="48">
        <v>40452</v>
      </c>
      <c r="Q65" s="49">
        <v>40871</v>
      </c>
      <c r="R65" s="50">
        <v>35282</v>
      </c>
      <c r="S65" s="47">
        <v>35587</v>
      </c>
      <c r="T65" s="48">
        <v>36146</v>
      </c>
      <c r="U65" s="49">
        <v>36847</v>
      </c>
      <c r="V65" s="50">
        <v>36788</v>
      </c>
      <c r="W65" s="47">
        <v>33812</v>
      </c>
      <c r="X65" s="50">
        <v>21512</v>
      </c>
    </row>
    <row r="66" spans="1:24" ht="14.25">
      <c r="A66" s="9" t="e">
        <f t="shared" si="2"/>
        <v>#REF!</v>
      </c>
      <c r="D66" s="210" t="s">
        <v>26</v>
      </c>
      <c r="E66" s="25" t="s">
        <v>9</v>
      </c>
      <c r="F66" s="25"/>
      <c r="G66" s="51">
        <v>47210</v>
      </c>
      <c r="H66" s="52">
        <v>47366</v>
      </c>
      <c r="I66" s="53">
        <v>47409</v>
      </c>
      <c r="J66" s="54">
        <v>47756</v>
      </c>
      <c r="K66" s="51">
        <v>46885</v>
      </c>
      <c r="L66" s="52">
        <v>43454</v>
      </c>
      <c r="M66" s="53">
        <v>37135</v>
      </c>
      <c r="N66" s="54">
        <v>31957</v>
      </c>
      <c r="O66" s="51">
        <v>32195</v>
      </c>
      <c r="P66" s="52">
        <v>32300</v>
      </c>
      <c r="Q66" s="53">
        <v>32348</v>
      </c>
      <c r="R66" s="54">
        <v>26543</v>
      </c>
      <c r="S66" s="51">
        <v>26772</v>
      </c>
      <c r="T66" s="52">
        <v>26961</v>
      </c>
      <c r="U66" s="53">
        <v>27326</v>
      </c>
      <c r="V66" s="54">
        <v>27693</v>
      </c>
      <c r="W66" s="51">
        <v>24864</v>
      </c>
      <c r="X66" s="54">
        <v>20232</v>
      </c>
    </row>
    <row r="67" spans="1:24" ht="14.25">
      <c r="A67" s="9" t="e">
        <f t="shared" si="2"/>
        <v>#REF!</v>
      </c>
      <c r="D67" s="210" t="s">
        <v>27</v>
      </c>
      <c r="E67" s="25" t="s">
        <v>10</v>
      </c>
      <c r="F67" s="25"/>
      <c r="G67" s="51">
        <f>_xlfn.COMPOUNDVALUE(959)</f>
        <v>8372</v>
      </c>
      <c r="H67" s="52">
        <v>8546</v>
      </c>
      <c r="I67" s="53">
        <v>8505</v>
      </c>
      <c r="J67" s="54">
        <v>8246</v>
      </c>
      <c r="K67" s="51">
        <v>8043</v>
      </c>
      <c r="L67" s="52">
        <v>8049</v>
      </c>
      <c r="M67" s="53">
        <v>8060</v>
      </c>
      <c r="N67" s="54">
        <v>8023</v>
      </c>
      <c r="O67" s="51">
        <v>7999</v>
      </c>
      <c r="P67" s="52">
        <v>8104</v>
      </c>
      <c r="Q67" s="53">
        <v>8476</v>
      </c>
      <c r="R67" s="54">
        <v>8693</v>
      </c>
      <c r="S67" s="51">
        <v>8773</v>
      </c>
      <c r="T67" s="52">
        <v>9137</v>
      </c>
      <c r="U67" s="53">
        <v>9474</v>
      </c>
      <c r="V67" s="54">
        <v>9048</v>
      </c>
      <c r="W67" s="51">
        <v>8906</v>
      </c>
      <c r="X67" s="54">
        <v>1233</v>
      </c>
    </row>
    <row r="68" spans="1:24" ht="14.25">
      <c r="A68" s="9" t="e">
        <f t="shared" si="2"/>
        <v>#REF!</v>
      </c>
      <c r="D68" s="210" t="s">
        <v>28</v>
      </c>
      <c r="E68" s="25" t="s">
        <v>11</v>
      </c>
      <c r="F68" s="25"/>
      <c r="G68" s="51">
        <v>0</v>
      </c>
      <c r="H68" s="52">
        <v>0</v>
      </c>
      <c r="I68" s="53">
        <v>0</v>
      </c>
      <c r="J68" s="54">
        <v>0</v>
      </c>
      <c r="K68" s="51">
        <v>0</v>
      </c>
      <c r="L68" s="52">
        <v>0</v>
      </c>
      <c r="M68" s="53">
        <v>0</v>
      </c>
      <c r="N68" s="54">
        <v>0</v>
      </c>
      <c r="O68" s="51">
        <v>0</v>
      </c>
      <c r="P68" s="52">
        <v>0</v>
      </c>
      <c r="Q68" s="53">
        <v>0</v>
      </c>
      <c r="R68" s="54">
        <v>0</v>
      </c>
      <c r="S68" s="51">
        <v>0</v>
      </c>
      <c r="T68" s="52">
        <v>0</v>
      </c>
      <c r="U68" s="53">
        <v>0</v>
      </c>
      <c r="V68" s="54">
        <v>0</v>
      </c>
      <c r="W68" s="51">
        <v>0</v>
      </c>
      <c r="X68" s="54">
        <v>0</v>
      </c>
    </row>
    <row r="69" spans="1:24" ht="14.25">
      <c r="A69" s="9" t="e">
        <f t="shared" si="2"/>
        <v>#REF!</v>
      </c>
      <c r="D69" s="210" t="s">
        <v>29</v>
      </c>
      <c r="E69" s="25" t="s">
        <v>33</v>
      </c>
      <c r="F69" s="25"/>
      <c r="G69" s="51">
        <v>25</v>
      </c>
      <c r="H69" s="52">
        <v>27</v>
      </c>
      <c r="I69" s="53">
        <v>27</v>
      </c>
      <c r="J69" s="54">
        <v>27</v>
      </c>
      <c r="K69" s="51">
        <v>45</v>
      </c>
      <c r="L69" s="52">
        <v>45</v>
      </c>
      <c r="M69" s="53">
        <v>45</v>
      </c>
      <c r="N69" s="54">
        <v>47</v>
      </c>
      <c r="O69" s="51">
        <v>48</v>
      </c>
      <c r="P69" s="52">
        <v>48</v>
      </c>
      <c r="Q69" s="53">
        <v>47</v>
      </c>
      <c r="R69" s="54">
        <v>46</v>
      </c>
      <c r="S69" s="51">
        <v>42</v>
      </c>
      <c r="T69" s="52">
        <v>48</v>
      </c>
      <c r="U69" s="53">
        <v>47</v>
      </c>
      <c r="V69" s="54">
        <v>47</v>
      </c>
      <c r="W69" s="51">
        <v>42</v>
      </c>
      <c r="X69" s="54">
        <v>47</v>
      </c>
    </row>
    <row r="70" spans="1:24" ht="14.25">
      <c r="A70" s="9" t="e">
        <f>#REF!+1</f>
        <v>#REF!</v>
      </c>
      <c r="D70" s="210" t="s">
        <v>30</v>
      </c>
      <c r="E70" s="25" t="s">
        <v>34</v>
      </c>
      <c r="F70" s="25"/>
      <c r="G70" s="51">
        <v>0</v>
      </c>
      <c r="H70" s="52">
        <v>0</v>
      </c>
      <c r="I70" s="53">
        <v>0</v>
      </c>
      <c r="J70" s="54">
        <v>0</v>
      </c>
      <c r="K70" s="51">
        <v>0</v>
      </c>
      <c r="L70" s="52">
        <v>0</v>
      </c>
      <c r="M70" s="53">
        <v>0</v>
      </c>
      <c r="N70" s="54">
        <v>0</v>
      </c>
      <c r="O70" s="51">
        <v>0</v>
      </c>
      <c r="P70" s="52">
        <v>0</v>
      </c>
      <c r="Q70" s="53">
        <v>0</v>
      </c>
      <c r="R70" s="54">
        <v>0</v>
      </c>
      <c r="S70" s="51">
        <v>0</v>
      </c>
      <c r="T70" s="52">
        <v>0</v>
      </c>
      <c r="U70" s="53">
        <v>0</v>
      </c>
      <c r="V70" s="54">
        <v>0</v>
      </c>
      <c r="W70" s="51">
        <v>0</v>
      </c>
      <c r="X70" s="54">
        <v>0</v>
      </c>
    </row>
    <row r="71" spans="1:24" ht="14.25">
      <c r="A71" s="9" t="e">
        <f t="shared" si="2"/>
        <v>#REF!</v>
      </c>
      <c r="D71" s="210" t="s">
        <v>31</v>
      </c>
      <c r="E71" s="25" t="s">
        <v>32</v>
      </c>
      <c r="F71" s="25"/>
      <c r="G71" s="51">
        <v>0</v>
      </c>
      <c r="H71" s="52">
        <v>0</v>
      </c>
      <c r="I71" s="52">
        <v>0</v>
      </c>
      <c r="J71" s="54">
        <v>0</v>
      </c>
      <c r="K71" s="51">
        <v>0</v>
      </c>
      <c r="L71" s="52">
        <v>0</v>
      </c>
      <c r="M71" s="52">
        <v>0</v>
      </c>
      <c r="N71" s="54">
        <v>0</v>
      </c>
      <c r="O71" s="51">
        <v>0</v>
      </c>
      <c r="P71" s="52">
        <v>0</v>
      </c>
      <c r="Q71" s="52">
        <v>0</v>
      </c>
      <c r="R71" s="54">
        <v>0</v>
      </c>
      <c r="S71" s="51">
        <v>0</v>
      </c>
      <c r="T71" s="52">
        <v>0</v>
      </c>
      <c r="U71" s="52">
        <v>0</v>
      </c>
      <c r="V71" s="54">
        <v>0</v>
      </c>
      <c r="W71" s="51">
        <v>0</v>
      </c>
      <c r="X71" s="54">
        <v>0</v>
      </c>
    </row>
    <row r="72" spans="1:24" ht="6" customHeight="1" thickBot="1">
      <c r="A72" s="9" t="e">
        <f t="shared" si="2"/>
        <v>#REF!</v>
      </c>
      <c r="D72" s="18"/>
      <c r="E72" s="25"/>
      <c r="F72" s="25"/>
      <c r="G72" s="24"/>
      <c r="H72" s="25"/>
      <c r="I72" s="25"/>
      <c r="J72" s="26"/>
      <c r="K72" s="24"/>
      <c r="L72" s="25"/>
      <c r="M72" s="25"/>
      <c r="N72" s="26"/>
      <c r="O72" s="24"/>
      <c r="P72" s="25"/>
      <c r="Q72" s="25"/>
      <c r="R72" s="26"/>
      <c r="S72" s="24"/>
      <c r="T72" s="25"/>
      <c r="U72" s="25"/>
      <c r="V72" s="26"/>
      <c r="W72" s="24"/>
      <c r="X72" s="26"/>
    </row>
    <row r="73" spans="1:24" ht="15" thickBot="1">
      <c r="A73" s="9" t="e">
        <f t="shared" si="2"/>
        <v>#REF!</v>
      </c>
      <c r="D73" s="213" t="s">
        <v>192</v>
      </c>
      <c r="E73" s="25"/>
      <c r="F73" s="20">
        <f>_xlfn.COMPOUNDVALUE(1101)</f>
        <v>188738</v>
      </c>
      <c r="G73" s="47">
        <f>_xlfn.COMPOUNDVALUE(958)</f>
        <v>188720</v>
      </c>
      <c r="H73" s="48">
        <v>187517</v>
      </c>
      <c r="I73" s="49">
        <v>187060</v>
      </c>
      <c r="J73" s="50">
        <v>188700</v>
      </c>
      <c r="K73" s="47">
        <v>187830</v>
      </c>
      <c r="L73" s="48">
        <v>188420</v>
      </c>
      <c r="M73" s="49">
        <v>189490</v>
      </c>
      <c r="N73" s="50">
        <v>189350</v>
      </c>
      <c r="O73" s="47">
        <v>188159</v>
      </c>
      <c r="P73" s="48">
        <v>189891</v>
      </c>
      <c r="Q73" s="49">
        <v>190425</v>
      </c>
      <c r="R73" s="50">
        <v>191634</v>
      </c>
      <c r="S73" s="47">
        <v>190978</v>
      </c>
      <c r="T73" s="48">
        <v>191017</v>
      </c>
      <c r="U73" s="49">
        <v>191173</v>
      </c>
      <c r="V73" s="50">
        <v>191811</v>
      </c>
      <c r="W73" s="47">
        <v>193899</v>
      </c>
      <c r="X73" s="50">
        <v>208259</v>
      </c>
    </row>
    <row r="74" spans="1:24" ht="14.25">
      <c r="A74" s="9" t="e">
        <f t="shared" si="2"/>
        <v>#REF!</v>
      </c>
      <c r="D74" s="210" t="s">
        <v>26</v>
      </c>
      <c r="E74" s="25" t="s">
        <v>9</v>
      </c>
      <c r="F74" s="25"/>
      <c r="G74" s="51">
        <v>139571</v>
      </c>
      <c r="H74" s="52">
        <v>138772</v>
      </c>
      <c r="I74" s="53">
        <v>139253</v>
      </c>
      <c r="J74" s="54">
        <v>140185</v>
      </c>
      <c r="K74" s="51">
        <v>138679</v>
      </c>
      <c r="L74" s="52">
        <v>138285</v>
      </c>
      <c r="M74" s="53">
        <v>138039</v>
      </c>
      <c r="N74" s="54">
        <v>135943</v>
      </c>
      <c r="O74" s="51">
        <v>134298</v>
      </c>
      <c r="P74" s="52">
        <v>133560</v>
      </c>
      <c r="Q74" s="53">
        <v>133275</v>
      </c>
      <c r="R74" s="54">
        <v>133953</v>
      </c>
      <c r="S74" s="51">
        <v>132841</v>
      </c>
      <c r="T74" s="52">
        <v>132013</v>
      </c>
      <c r="U74" s="53">
        <v>131241</v>
      </c>
      <c r="V74" s="54">
        <v>131193</v>
      </c>
      <c r="W74" s="51">
        <v>131857</v>
      </c>
      <c r="X74" s="54">
        <v>132285</v>
      </c>
    </row>
    <row r="75" spans="1:24" ht="14.25">
      <c r="A75" s="9" t="e">
        <f t="shared" si="2"/>
        <v>#REF!</v>
      </c>
      <c r="D75" s="210" t="s">
        <v>27</v>
      </c>
      <c r="E75" s="25" t="s">
        <v>10</v>
      </c>
      <c r="F75" s="25"/>
      <c r="G75" s="51">
        <f>_xlfn.COMPOUNDVALUE(951)</f>
        <v>47465</v>
      </c>
      <c r="H75" s="52">
        <v>46995</v>
      </c>
      <c r="I75" s="53">
        <v>46131</v>
      </c>
      <c r="J75" s="54">
        <v>46724</v>
      </c>
      <c r="K75" s="51">
        <v>47427</v>
      </c>
      <c r="L75" s="52">
        <v>48468</v>
      </c>
      <c r="M75" s="53">
        <v>49846</v>
      </c>
      <c r="N75" s="54">
        <v>51815</v>
      </c>
      <c r="O75" s="51">
        <v>52297</v>
      </c>
      <c r="P75" s="52">
        <v>54793</v>
      </c>
      <c r="Q75" s="53">
        <v>55633</v>
      </c>
      <c r="R75" s="54">
        <v>56255</v>
      </c>
      <c r="S75" s="51">
        <v>56856</v>
      </c>
      <c r="T75" s="52">
        <v>57715</v>
      </c>
      <c r="U75" s="53">
        <v>58653</v>
      </c>
      <c r="V75" s="54">
        <v>59372</v>
      </c>
      <c r="W75" s="51">
        <v>60699</v>
      </c>
      <c r="X75" s="54">
        <v>74701</v>
      </c>
    </row>
    <row r="76" spans="1:24" ht="14.25">
      <c r="A76" s="9" t="e">
        <f t="shared" si="2"/>
        <v>#REF!</v>
      </c>
      <c r="D76" s="210" t="s">
        <v>28</v>
      </c>
      <c r="E76" s="25" t="s">
        <v>11</v>
      </c>
      <c r="F76" s="25"/>
      <c r="G76" s="51">
        <f>_xlfn.COMPOUNDVALUE(950)</f>
        <v>557</v>
      </c>
      <c r="H76" s="52">
        <v>586</v>
      </c>
      <c r="I76" s="53">
        <v>601</v>
      </c>
      <c r="J76" s="54">
        <v>671</v>
      </c>
      <c r="K76" s="51">
        <v>689</v>
      </c>
      <c r="L76" s="52">
        <v>645</v>
      </c>
      <c r="M76" s="53">
        <v>599</v>
      </c>
      <c r="N76" s="54">
        <v>544</v>
      </c>
      <c r="O76" s="51">
        <v>510</v>
      </c>
      <c r="P76" s="52">
        <v>498</v>
      </c>
      <c r="Q76" s="53">
        <v>479</v>
      </c>
      <c r="R76" s="54">
        <v>346</v>
      </c>
      <c r="S76" s="51">
        <v>320</v>
      </c>
      <c r="T76" s="52">
        <v>347</v>
      </c>
      <c r="U76" s="53">
        <v>338</v>
      </c>
      <c r="V76" s="54">
        <v>321</v>
      </c>
      <c r="W76" s="51">
        <v>394</v>
      </c>
      <c r="X76" s="54">
        <v>314</v>
      </c>
    </row>
    <row r="77" spans="1:24" ht="14.25">
      <c r="A77" s="9" t="e">
        <f t="shared" si="2"/>
        <v>#REF!</v>
      </c>
      <c r="D77" s="210" t="s">
        <v>29</v>
      </c>
      <c r="E77" s="25" t="s">
        <v>33</v>
      </c>
      <c r="F77" s="25"/>
      <c r="G77" s="51">
        <f>_xlfn.COMPOUNDVALUE(1054)</f>
        <v>985</v>
      </c>
      <c r="H77" s="52">
        <v>1006</v>
      </c>
      <c r="I77" s="53">
        <v>908</v>
      </c>
      <c r="J77" s="54">
        <v>943</v>
      </c>
      <c r="K77" s="51">
        <v>858</v>
      </c>
      <c r="L77" s="52">
        <v>831</v>
      </c>
      <c r="M77" s="53">
        <v>808</v>
      </c>
      <c r="N77" s="54">
        <v>843</v>
      </c>
      <c r="O77" s="51">
        <v>846</v>
      </c>
      <c r="P77" s="52">
        <v>832</v>
      </c>
      <c r="Q77" s="53">
        <v>827</v>
      </c>
      <c r="R77" s="54">
        <v>862</v>
      </c>
      <c r="S77" s="51">
        <v>741</v>
      </c>
      <c r="T77" s="52">
        <v>718</v>
      </c>
      <c r="U77" s="53">
        <v>712</v>
      </c>
      <c r="V77" s="54">
        <v>695</v>
      </c>
      <c r="W77" s="51">
        <v>723</v>
      </c>
      <c r="X77" s="54">
        <v>732</v>
      </c>
    </row>
    <row r="78" spans="1:24" ht="14.25">
      <c r="A78" s="9" t="e">
        <f>#REF!+1</f>
        <v>#REF!</v>
      </c>
      <c r="D78" s="210" t="s">
        <v>30</v>
      </c>
      <c r="E78" s="25" t="s">
        <v>34</v>
      </c>
      <c r="F78" s="25"/>
      <c r="G78" s="51">
        <f>_xlfn.COMPOUNDVALUE(946)</f>
        <v>142</v>
      </c>
      <c r="H78" s="52">
        <v>158</v>
      </c>
      <c r="I78" s="53">
        <v>167</v>
      </c>
      <c r="J78" s="54">
        <v>177</v>
      </c>
      <c r="K78" s="51">
        <v>177</v>
      </c>
      <c r="L78" s="52">
        <v>191</v>
      </c>
      <c r="M78" s="53">
        <v>198</v>
      </c>
      <c r="N78" s="54">
        <v>205</v>
      </c>
      <c r="O78" s="51">
        <v>208</v>
      </c>
      <c r="P78" s="52">
        <v>208</v>
      </c>
      <c r="Q78" s="53">
        <v>211</v>
      </c>
      <c r="R78" s="54">
        <v>218</v>
      </c>
      <c r="S78" s="51">
        <v>220</v>
      </c>
      <c r="T78" s="52">
        <v>224</v>
      </c>
      <c r="U78" s="53">
        <v>229</v>
      </c>
      <c r="V78" s="54">
        <v>230</v>
      </c>
      <c r="W78" s="51">
        <v>226</v>
      </c>
      <c r="X78" s="54">
        <v>227</v>
      </c>
    </row>
    <row r="79" spans="1:24" ht="14.25">
      <c r="A79" s="9" t="e">
        <f t="shared" si="2"/>
        <v>#REF!</v>
      </c>
      <c r="D79" s="210" t="s">
        <v>31</v>
      </c>
      <c r="E79" s="25" t="s">
        <v>32</v>
      </c>
      <c r="F79" s="25"/>
      <c r="G79" s="51">
        <v>0</v>
      </c>
      <c r="H79" s="52">
        <v>0</v>
      </c>
      <c r="I79" s="52">
        <v>0</v>
      </c>
      <c r="J79" s="54">
        <v>0</v>
      </c>
      <c r="K79" s="51">
        <v>0</v>
      </c>
      <c r="L79" s="52">
        <v>0</v>
      </c>
      <c r="M79" s="52">
        <v>0</v>
      </c>
      <c r="N79" s="54">
        <v>0</v>
      </c>
      <c r="O79" s="51">
        <v>0</v>
      </c>
      <c r="P79" s="52">
        <v>0</v>
      </c>
      <c r="Q79" s="52">
        <v>0</v>
      </c>
      <c r="R79" s="54">
        <v>0</v>
      </c>
      <c r="S79" s="51">
        <v>0</v>
      </c>
      <c r="T79" s="52">
        <v>0</v>
      </c>
      <c r="U79" s="52">
        <v>0</v>
      </c>
      <c r="V79" s="54">
        <v>0</v>
      </c>
      <c r="W79" s="51">
        <v>0</v>
      </c>
      <c r="X79" s="54">
        <v>0</v>
      </c>
    </row>
    <row r="80" spans="1:24" ht="4.5" customHeight="1" thickBot="1">
      <c r="A80" s="9" t="e">
        <f t="shared" si="2"/>
        <v>#REF!</v>
      </c>
      <c r="D80" s="18"/>
      <c r="E80" s="25"/>
      <c r="F80" s="25"/>
      <c r="G80" s="24"/>
      <c r="H80" s="25"/>
      <c r="I80" s="25"/>
      <c r="J80" s="26"/>
      <c r="K80" s="24"/>
      <c r="L80" s="25"/>
      <c r="M80" s="25"/>
      <c r="N80" s="26"/>
      <c r="O80" s="24"/>
      <c r="P80" s="25"/>
      <c r="Q80" s="25"/>
      <c r="R80" s="26"/>
      <c r="S80" s="24"/>
      <c r="T80" s="25"/>
      <c r="U80" s="25"/>
      <c r="V80" s="26"/>
      <c r="W80" s="24"/>
      <c r="X80" s="26"/>
    </row>
    <row r="81" spans="1:24" ht="15" thickBot="1">
      <c r="A81" s="9" t="e">
        <f t="shared" si="2"/>
        <v>#REF!</v>
      </c>
      <c r="D81" s="213" t="s">
        <v>35</v>
      </c>
      <c r="E81" s="25"/>
      <c r="F81" s="20">
        <f>_xlfn.COMPOUNDVALUE(1102)</f>
        <v>2847</v>
      </c>
      <c r="G81" s="47">
        <f>_xlfn.COMPOUNDVALUE(945)</f>
        <v>2859</v>
      </c>
      <c r="H81" s="48">
        <v>2889</v>
      </c>
      <c r="I81" s="49">
        <v>2860</v>
      </c>
      <c r="J81" s="50">
        <v>2906</v>
      </c>
      <c r="K81" s="47">
        <v>2905</v>
      </c>
      <c r="L81" s="48">
        <v>2905</v>
      </c>
      <c r="M81" s="49">
        <v>2869</v>
      </c>
      <c r="N81" s="50">
        <v>2826</v>
      </c>
      <c r="O81" s="47">
        <v>2842</v>
      </c>
      <c r="P81" s="48">
        <v>2816</v>
      </c>
      <c r="Q81" s="49">
        <v>2801</v>
      </c>
      <c r="R81" s="50">
        <v>2824</v>
      </c>
      <c r="S81" s="47">
        <v>2772</v>
      </c>
      <c r="T81" s="48">
        <v>2756</v>
      </c>
      <c r="U81" s="49">
        <v>2740</v>
      </c>
      <c r="V81" s="50">
        <v>2732</v>
      </c>
      <c r="W81" s="47">
        <v>2702</v>
      </c>
      <c r="X81" s="50">
        <v>2698</v>
      </c>
    </row>
    <row r="82" spans="1:24" ht="14.25">
      <c r="A82" s="9" t="e">
        <f t="shared" si="2"/>
        <v>#REF!</v>
      </c>
      <c r="D82" s="210" t="s">
        <v>26</v>
      </c>
      <c r="E82" s="25" t="s">
        <v>9</v>
      </c>
      <c r="F82" s="25"/>
      <c r="G82" s="51">
        <f>_xlfn.COMPOUNDVALUE(954)</f>
        <v>2813</v>
      </c>
      <c r="H82" s="52">
        <v>2828</v>
      </c>
      <c r="I82" s="53">
        <v>2807</v>
      </c>
      <c r="J82" s="54">
        <v>2855</v>
      </c>
      <c r="K82" s="51">
        <v>2858</v>
      </c>
      <c r="L82" s="52">
        <v>2860</v>
      </c>
      <c r="M82" s="53">
        <v>2820</v>
      </c>
      <c r="N82" s="54">
        <v>2773</v>
      </c>
      <c r="O82" s="51">
        <v>2788</v>
      </c>
      <c r="P82" s="52">
        <v>2760</v>
      </c>
      <c r="Q82" s="53">
        <v>2747</v>
      </c>
      <c r="R82" s="54">
        <v>2769</v>
      </c>
      <c r="S82" s="51">
        <v>2722</v>
      </c>
      <c r="T82" s="52">
        <v>2708</v>
      </c>
      <c r="U82" s="53">
        <v>2695</v>
      </c>
      <c r="V82" s="54">
        <v>2684</v>
      </c>
      <c r="W82" s="51">
        <v>2627</v>
      </c>
      <c r="X82" s="54">
        <v>2620</v>
      </c>
    </row>
    <row r="83" spans="1:24" ht="14.25">
      <c r="A83" s="9" t="e">
        <f t="shared" si="2"/>
        <v>#REF!</v>
      </c>
      <c r="D83" s="210" t="s">
        <v>27</v>
      </c>
      <c r="E83" s="25" t="s">
        <v>10</v>
      </c>
      <c r="F83" s="25"/>
      <c r="G83" s="242">
        <v>0</v>
      </c>
      <c r="H83" s="52">
        <v>0</v>
      </c>
      <c r="I83" s="53">
        <v>0</v>
      </c>
      <c r="J83" s="54">
        <v>0</v>
      </c>
      <c r="K83" s="51">
        <v>0</v>
      </c>
      <c r="L83" s="52">
        <v>0</v>
      </c>
      <c r="M83" s="53">
        <v>0</v>
      </c>
      <c r="N83" s="54">
        <v>0</v>
      </c>
      <c r="O83" s="51">
        <v>0</v>
      </c>
      <c r="P83" s="52">
        <v>0</v>
      </c>
      <c r="Q83" s="53">
        <v>0</v>
      </c>
      <c r="R83" s="54">
        <v>0</v>
      </c>
      <c r="S83" s="51">
        <v>0</v>
      </c>
      <c r="T83" s="52">
        <v>0</v>
      </c>
      <c r="U83" s="53">
        <v>0</v>
      </c>
      <c r="V83" s="54">
        <v>0</v>
      </c>
      <c r="W83" s="51">
        <v>0</v>
      </c>
      <c r="X83" s="54">
        <v>0</v>
      </c>
    </row>
    <row r="84" spans="1:24" ht="14.25">
      <c r="A84" s="9" t="e">
        <f t="shared" si="2"/>
        <v>#REF!</v>
      </c>
      <c r="D84" s="210" t="s">
        <v>28</v>
      </c>
      <c r="E84" s="25" t="s">
        <v>11</v>
      </c>
      <c r="F84" s="25"/>
      <c r="G84" s="51">
        <v>0</v>
      </c>
      <c r="H84" s="52">
        <v>0</v>
      </c>
      <c r="I84" s="53">
        <v>0</v>
      </c>
      <c r="J84" s="54">
        <v>0</v>
      </c>
      <c r="K84" s="51">
        <v>0</v>
      </c>
      <c r="L84" s="52">
        <v>0</v>
      </c>
      <c r="M84" s="53">
        <v>0</v>
      </c>
      <c r="N84" s="54">
        <v>0</v>
      </c>
      <c r="O84" s="51">
        <v>0</v>
      </c>
      <c r="P84" s="52">
        <v>0</v>
      </c>
      <c r="Q84" s="53">
        <v>0</v>
      </c>
      <c r="R84" s="54">
        <v>0</v>
      </c>
      <c r="S84" s="51">
        <v>0</v>
      </c>
      <c r="T84" s="52">
        <v>0</v>
      </c>
      <c r="U84" s="53">
        <v>0</v>
      </c>
      <c r="V84" s="54">
        <v>0</v>
      </c>
      <c r="W84" s="51">
        <v>0</v>
      </c>
      <c r="X84" s="54">
        <v>0</v>
      </c>
    </row>
    <row r="85" spans="1:24" ht="14.25">
      <c r="A85" s="9" t="e">
        <f t="shared" si="2"/>
        <v>#REF!</v>
      </c>
      <c r="D85" s="210" t="s">
        <v>29</v>
      </c>
      <c r="E85" s="25" t="s">
        <v>33</v>
      </c>
      <c r="F85" s="25"/>
      <c r="G85" s="51">
        <f>_xlfn.COMPOUNDVALUE(1019)</f>
        <v>46</v>
      </c>
      <c r="H85" s="52">
        <v>61</v>
      </c>
      <c r="I85" s="53">
        <v>53</v>
      </c>
      <c r="J85" s="54">
        <v>51</v>
      </c>
      <c r="K85" s="51">
        <v>47</v>
      </c>
      <c r="L85" s="52">
        <v>45</v>
      </c>
      <c r="M85" s="53">
        <v>49</v>
      </c>
      <c r="N85" s="54">
        <v>53</v>
      </c>
      <c r="O85" s="51">
        <v>54</v>
      </c>
      <c r="P85" s="52">
        <v>56</v>
      </c>
      <c r="Q85" s="53">
        <v>54</v>
      </c>
      <c r="R85" s="54">
        <v>55</v>
      </c>
      <c r="S85" s="51">
        <v>50</v>
      </c>
      <c r="T85" s="52">
        <v>48</v>
      </c>
      <c r="U85" s="53">
        <v>45</v>
      </c>
      <c r="V85" s="54">
        <v>48</v>
      </c>
      <c r="W85" s="51">
        <v>40</v>
      </c>
      <c r="X85" s="54">
        <v>43</v>
      </c>
    </row>
    <row r="86" spans="1:24" ht="14.25">
      <c r="A86" s="9" t="e">
        <f>#REF!+1</f>
        <v>#REF!</v>
      </c>
      <c r="D86" s="210" t="s">
        <v>30</v>
      </c>
      <c r="E86" s="25" t="s">
        <v>34</v>
      </c>
      <c r="F86" s="25"/>
      <c r="G86" s="51">
        <v>0</v>
      </c>
      <c r="H86" s="52">
        <v>0</v>
      </c>
      <c r="I86" s="53">
        <v>0</v>
      </c>
      <c r="J86" s="54">
        <v>0</v>
      </c>
      <c r="K86" s="51">
        <v>0</v>
      </c>
      <c r="L86" s="52">
        <v>0</v>
      </c>
      <c r="M86" s="53">
        <v>0</v>
      </c>
      <c r="N86" s="54">
        <v>0</v>
      </c>
      <c r="O86" s="51">
        <v>0</v>
      </c>
      <c r="P86" s="52">
        <v>0</v>
      </c>
      <c r="Q86" s="53">
        <v>0</v>
      </c>
      <c r="R86" s="54">
        <v>0</v>
      </c>
      <c r="S86" s="51">
        <v>0</v>
      </c>
      <c r="T86" s="52">
        <v>0</v>
      </c>
      <c r="U86" s="53">
        <v>0</v>
      </c>
      <c r="V86" s="54">
        <v>0</v>
      </c>
      <c r="W86" s="51">
        <v>0</v>
      </c>
      <c r="X86" s="54">
        <v>0</v>
      </c>
    </row>
    <row r="87" spans="1:24" ht="14.25">
      <c r="A87" s="9" t="e">
        <f t="shared" si="2"/>
        <v>#REF!</v>
      </c>
      <c r="D87" s="210" t="s">
        <v>31</v>
      </c>
      <c r="E87" s="25" t="s">
        <v>32</v>
      </c>
      <c r="F87" s="25"/>
      <c r="G87" s="51">
        <v>0</v>
      </c>
      <c r="H87" s="52">
        <v>0</v>
      </c>
      <c r="I87" s="52">
        <v>0</v>
      </c>
      <c r="J87" s="54">
        <v>0</v>
      </c>
      <c r="K87" s="51">
        <v>0</v>
      </c>
      <c r="L87" s="52">
        <v>0</v>
      </c>
      <c r="M87" s="52">
        <v>0</v>
      </c>
      <c r="N87" s="54">
        <v>0</v>
      </c>
      <c r="O87" s="51">
        <v>0</v>
      </c>
      <c r="P87" s="52">
        <v>0</v>
      </c>
      <c r="Q87" s="52">
        <v>0</v>
      </c>
      <c r="R87" s="54">
        <v>0</v>
      </c>
      <c r="S87" s="51">
        <v>0</v>
      </c>
      <c r="T87" s="52">
        <v>0</v>
      </c>
      <c r="U87" s="52">
        <v>0</v>
      </c>
      <c r="V87" s="54">
        <v>0</v>
      </c>
      <c r="W87" s="51">
        <v>35</v>
      </c>
      <c r="X87" s="54">
        <v>35</v>
      </c>
    </row>
    <row r="88" spans="1:24" ht="7.5" customHeight="1" thickBot="1">
      <c r="A88" s="9" t="e">
        <f t="shared" si="2"/>
        <v>#REF!</v>
      </c>
      <c r="D88" s="18"/>
      <c r="E88" s="25"/>
      <c r="F88" s="25"/>
      <c r="G88" s="24"/>
      <c r="H88" s="25"/>
      <c r="I88" s="25"/>
      <c r="J88" s="26"/>
      <c r="K88" s="24"/>
      <c r="L88" s="25"/>
      <c r="M88" s="25"/>
      <c r="N88" s="26"/>
      <c r="O88" s="24"/>
      <c r="P88" s="25"/>
      <c r="Q88" s="25"/>
      <c r="R88" s="26"/>
      <c r="S88" s="24"/>
      <c r="T88" s="25"/>
      <c r="U88" s="25"/>
      <c r="V88" s="26"/>
      <c r="W88" s="24"/>
      <c r="X88" s="26"/>
    </row>
    <row r="89" spans="1:24" ht="15" thickBot="1">
      <c r="A89" s="9" t="e">
        <f t="shared" si="2"/>
        <v>#REF!</v>
      </c>
      <c r="C89" s="59"/>
      <c r="D89" s="211" t="s">
        <v>193</v>
      </c>
      <c r="E89" s="25"/>
      <c r="F89" s="25"/>
      <c r="G89" s="31">
        <v>53896</v>
      </c>
      <c r="H89" s="32">
        <v>55829</v>
      </c>
      <c r="I89" s="33">
        <v>63100</v>
      </c>
      <c r="J89" s="34">
        <v>70021</v>
      </c>
      <c r="K89" s="31">
        <f>_xlfn.COMPOUNDVALUE(344)</f>
        <v>71901</v>
      </c>
      <c r="L89" s="32">
        <f>_xlfn.COMPOUNDVALUE(343)</f>
        <v>74681</v>
      </c>
      <c r="M89" s="33">
        <f>_xlfn.COMPOUNDVALUE(342)</f>
        <v>77322</v>
      </c>
      <c r="N89" s="34">
        <f>_xlfn.COMPOUNDVALUE(341)</f>
        <v>80367</v>
      </c>
      <c r="O89" s="31">
        <f>_xlfn.COMPOUNDVALUE(340)</f>
        <v>80798</v>
      </c>
      <c r="P89" s="32">
        <f>_xlfn.COMPOUNDVALUE(339)</f>
        <v>83462</v>
      </c>
      <c r="Q89" s="33">
        <f>_xlfn.COMPOUNDVALUE(338)</f>
        <v>85458</v>
      </c>
      <c r="R89" s="34">
        <f>_xlfn.COMPOUNDVALUE(337)</f>
        <v>85898</v>
      </c>
      <c r="S89" s="31">
        <f>_xlfn.COMPOUNDVALUE(336)</f>
        <v>84861</v>
      </c>
      <c r="T89" s="32">
        <f>_xlfn.COMPOUNDVALUE(335)</f>
        <v>89854</v>
      </c>
      <c r="U89" s="33">
        <f>_xlfn.COMPOUNDVALUE(369)</f>
        <v>93318</v>
      </c>
      <c r="V89" s="34">
        <f>_xlfn.COMPOUNDVALUE(474)</f>
        <v>97577</v>
      </c>
      <c r="W89" s="31">
        <f>_xlfn.COMPOUNDVALUE(514)</f>
        <v>104718</v>
      </c>
      <c r="X89" s="34">
        <f>_xlfn.COMPOUNDVALUE(524)</f>
        <v>105681</v>
      </c>
    </row>
    <row r="90" spans="1:24" ht="14.25">
      <c r="A90" s="9" t="e">
        <f t="shared" si="2"/>
        <v>#REF!</v>
      </c>
      <c r="D90" s="215" t="s">
        <v>194</v>
      </c>
      <c r="E90" s="25"/>
      <c r="F90" s="25"/>
      <c r="G90" s="64">
        <v>0.28558711318355234</v>
      </c>
      <c r="H90" s="65">
        <v>0.29772767269100936</v>
      </c>
      <c r="I90" s="66">
        <v>0.33732492248476426</v>
      </c>
      <c r="J90" s="67">
        <v>0.3710704822469528</v>
      </c>
      <c r="K90" s="64">
        <f>_xlfn.COMPOUNDVALUE(344)</f>
        <v>0.3827982750359368</v>
      </c>
      <c r="L90" s="65">
        <f>_xlfn.COMPOUNDVALUE(343)</f>
        <v>0.3963538902451969</v>
      </c>
      <c r="M90" s="66">
        <f>_xlfn.COMPOUNDVALUE(342)</f>
        <v>0.40805319541928337</v>
      </c>
      <c r="N90" s="67">
        <f>_xlfn.COMPOUNDVALUE(341)</f>
        <v>0.4244362292051756</v>
      </c>
      <c r="O90" s="64">
        <f>_xlfn.COMPOUNDVALUE(340)</f>
        <v>0.4294134216274534</v>
      </c>
      <c r="P90" s="65">
        <f>_xlfn.COMPOUNDVALUE(339)</f>
        <v>0.4395258332411752</v>
      </c>
      <c r="Q90" s="66">
        <f>_xlfn.COMPOUNDVALUE(338)</f>
        <v>0.4487751083103584</v>
      </c>
      <c r="R90" s="67">
        <f>_xlfn.COMPOUNDVALUE(337)</f>
        <v>0.44823987392633874</v>
      </c>
      <c r="S90" s="64">
        <f>_xlfn.COMPOUNDVALUE(336)</f>
        <v>0.44434961094995234</v>
      </c>
      <c r="T90" s="65">
        <f>_xlfn.COMPOUNDVALUE(335)</f>
        <v>0.47039792269797975</v>
      </c>
      <c r="U90" s="66">
        <f>_xlfn.COMPOUNDVALUE(369)</f>
        <v>0.48813378458255086</v>
      </c>
      <c r="V90" s="67">
        <f>_xlfn.COMPOUNDVALUE(474)</f>
        <v>0.5087143073129279</v>
      </c>
      <c r="W90" s="64">
        <f>_xlfn.COMPOUNDVALUE(514)</f>
        <v>0.540064672845141</v>
      </c>
      <c r="X90" s="67">
        <f>_xlfn.COMPOUNDVALUE(524)</f>
        <v>0.5074498581093734</v>
      </c>
    </row>
    <row r="91" spans="1:24" ht="8.25" customHeight="1" thickBot="1">
      <c r="A91" s="9" t="e">
        <f t="shared" si="2"/>
        <v>#REF!</v>
      </c>
      <c r="D91" s="210"/>
      <c r="E91" s="25"/>
      <c r="F91" s="25"/>
      <c r="G91" s="51"/>
      <c r="H91" s="52"/>
      <c r="I91" s="53"/>
      <c r="J91" s="54"/>
      <c r="K91" s="51"/>
      <c r="L91" s="52"/>
      <c r="M91" s="53"/>
      <c r="N91" s="54"/>
      <c r="O91" s="51"/>
      <c r="P91" s="52"/>
      <c r="Q91" s="53"/>
      <c r="R91" s="54"/>
      <c r="S91" s="51"/>
      <c r="T91" s="52"/>
      <c r="U91" s="53"/>
      <c r="V91" s="54"/>
      <c r="W91" s="51"/>
      <c r="X91" s="54"/>
    </row>
    <row r="92" spans="1:24" ht="15" thickBot="1">
      <c r="A92" s="9" t="e">
        <f t="shared" si="2"/>
        <v>#REF!</v>
      </c>
      <c r="C92" s="60"/>
      <c r="D92" s="211" t="s">
        <v>101</v>
      </c>
      <c r="E92" s="25"/>
      <c r="F92" s="25"/>
      <c r="G92" s="31">
        <f>_xlfn.COMPOUNDVALUE(944)</f>
        <v>53052481.75039001</v>
      </c>
      <c r="H92" s="32">
        <f>_xlfn.COMPOUNDVALUE(1049)</f>
        <v>54417927</v>
      </c>
      <c r="I92" s="33">
        <f>_xlfn.COMPOUNDVALUE(1071)</f>
        <v>53626291</v>
      </c>
      <c r="J92" s="34">
        <f>_xlfn.COMPOUNDVALUE(1084)</f>
        <v>52261340</v>
      </c>
      <c r="K92" s="31">
        <f>_xlfn.COMPOUNDVALUE(748)</f>
        <v>49297664</v>
      </c>
      <c r="L92" s="32">
        <f>_xlfn.COMPOUNDVALUE(829)</f>
        <v>50446544</v>
      </c>
      <c r="M92" s="33">
        <f>_xlfn.COMPOUNDVALUE(738)</f>
        <v>50507443</v>
      </c>
      <c r="N92" s="34">
        <f>_xlfn.COMPOUNDVALUE(679)</f>
        <v>48363731</v>
      </c>
      <c r="O92" s="31">
        <f>_xlfn.COMPOUNDVALUE(978)</f>
        <v>48299065</v>
      </c>
      <c r="P92" s="32">
        <f>_xlfn.COMPOUNDVALUE(853)</f>
        <v>48817470</v>
      </c>
      <c r="Q92" s="33">
        <f>_xlfn.COMPOUNDVALUE(926)</f>
        <v>47544518</v>
      </c>
      <c r="R92" s="34">
        <f>_xlfn.COMPOUNDVALUE(573)</f>
        <v>47663225</v>
      </c>
      <c r="S92" s="31">
        <f>_xlfn.COMPOUNDVALUE(790)</f>
        <v>45594882</v>
      </c>
      <c r="T92" s="32">
        <f>_xlfn.COMPOUNDVALUE(1008)</f>
        <v>46051512</v>
      </c>
      <c r="U92" s="33">
        <f>_xlfn.COMPOUNDVALUE(782)</f>
        <v>43118906</v>
      </c>
      <c r="V92" s="34">
        <f>_xlfn.COMPOUNDVALUE(645)</f>
        <v>43184422</v>
      </c>
      <c r="W92" s="31">
        <f>_xlfn.COMPOUNDVALUE(893)</f>
        <v>41328074</v>
      </c>
      <c r="X92" s="34">
        <f>_xlfn.COMPOUNDVALUE(876)</f>
        <v>42390402</v>
      </c>
    </row>
    <row r="93" spans="1:24" ht="7.5" customHeight="1" thickBot="1">
      <c r="A93" s="9" t="e">
        <f t="shared" si="2"/>
        <v>#REF!</v>
      </c>
      <c r="D93" s="210"/>
      <c r="E93" s="25"/>
      <c r="F93" s="25"/>
      <c r="G93" s="51"/>
      <c r="H93" s="52"/>
      <c r="I93" s="53"/>
      <c r="J93" s="54"/>
      <c r="K93" s="51"/>
      <c r="L93" s="52"/>
      <c r="M93" s="53"/>
      <c r="N93" s="54"/>
      <c r="O93" s="51"/>
      <c r="P93" s="52"/>
      <c r="Q93" s="53"/>
      <c r="R93" s="54"/>
      <c r="S93" s="51"/>
      <c r="T93" s="52"/>
      <c r="U93" s="53"/>
      <c r="V93" s="54"/>
      <c r="W93" s="51"/>
      <c r="X93" s="54"/>
    </row>
    <row r="94" spans="1:24" ht="15" thickBot="1">
      <c r="A94" s="9" t="e">
        <f t="shared" si="2"/>
        <v>#REF!</v>
      </c>
      <c r="C94" s="60"/>
      <c r="D94" s="211" t="s">
        <v>104</v>
      </c>
      <c r="E94" s="25"/>
      <c r="F94" s="25"/>
      <c r="G94" s="31">
        <f>_xlfn.COMPOUNDVALUE(949)</f>
        <v>184058378.2324419</v>
      </c>
      <c r="H94" s="32">
        <f>_xlfn.COMPOUNDVALUE(1045)</f>
        <v>185425292.05</v>
      </c>
      <c r="I94" s="33">
        <f>_xlfn.COMPOUNDVALUE(1060)</f>
        <v>179633648.8</v>
      </c>
      <c r="J94" s="34">
        <f>_xlfn.COMPOUNDVALUE(1093)</f>
        <v>178908576.29999998</v>
      </c>
      <c r="K94" s="31">
        <f>_xlfn.COMPOUNDVALUE(759)</f>
        <v>172126310.03332204</v>
      </c>
      <c r="L94" s="32">
        <f>_xlfn.COMPOUNDVALUE(818)</f>
        <v>170973295.816655</v>
      </c>
      <c r="M94" s="33">
        <f>_xlfn.COMPOUNDVALUE(732)</f>
        <v>163310562.583326</v>
      </c>
      <c r="N94" s="34">
        <f>_xlfn.COMPOUNDVALUE(688)</f>
        <v>166341350.416663</v>
      </c>
      <c r="O94" s="31">
        <f>_xlfn.COMPOUNDVALUE(981)</f>
        <v>169206603.76332298</v>
      </c>
      <c r="P94" s="32">
        <f>_xlfn.COMPOUNDVALUE(847)</f>
        <v>165510109.163293</v>
      </c>
      <c r="Q94" s="33">
        <f>_xlfn.COMPOUNDVALUE(916)</f>
        <v>159299789.71975896</v>
      </c>
      <c r="R94" s="34">
        <f>_xlfn.COMPOUNDVALUE(584)</f>
        <v>161832896.019495</v>
      </c>
      <c r="S94" s="31">
        <f>_xlfn.COMPOUNDVALUE(805)</f>
        <v>158479559.20029998</v>
      </c>
      <c r="T94" s="32">
        <f>_xlfn.COMPOUNDVALUE(990)</f>
        <v>156622684.76644102</v>
      </c>
      <c r="U94" s="33">
        <f>_xlfn.COMPOUNDVALUE(777)</f>
        <v>145389092.03884682</v>
      </c>
      <c r="V94" s="34">
        <f>_xlfn.COMPOUNDVALUE(656)</f>
        <v>150747592.491235</v>
      </c>
      <c r="W94" s="31">
        <f>_xlfn.COMPOUNDVALUE(896)</f>
        <v>150861622.18419495</v>
      </c>
      <c r="X94" s="34">
        <f>_xlfn.COMPOUNDVALUE(871)</f>
        <v>146006636.11230698</v>
      </c>
    </row>
    <row r="95" spans="1:24" s="88" customFormat="1" ht="8.25" customHeight="1" thickBot="1">
      <c r="A95" s="9" t="e">
        <f t="shared" si="2"/>
        <v>#REF!</v>
      </c>
      <c r="C95" s="13"/>
      <c r="D95" s="89"/>
      <c r="E95" s="250"/>
      <c r="F95" s="250"/>
      <c r="G95" s="90"/>
      <c r="H95" s="91"/>
      <c r="I95" s="92"/>
      <c r="J95" s="93"/>
      <c r="K95" s="90"/>
      <c r="L95" s="91"/>
      <c r="M95" s="92"/>
      <c r="N95" s="93"/>
      <c r="O95" s="90"/>
      <c r="P95" s="91"/>
      <c r="Q95" s="92"/>
      <c r="R95" s="93"/>
      <c r="S95" s="90"/>
      <c r="T95" s="91"/>
      <c r="U95" s="92"/>
      <c r="V95" s="93"/>
      <c r="W95" s="90"/>
      <c r="X95" s="93"/>
    </row>
    <row r="96" spans="1:24" ht="15" thickBot="1">
      <c r="A96" s="9" t="e">
        <f t="shared" si="2"/>
        <v>#REF!</v>
      </c>
      <c r="C96" s="60"/>
      <c r="D96" s="211" t="s">
        <v>23</v>
      </c>
      <c r="E96" s="25"/>
      <c r="F96" s="25"/>
      <c r="G96" s="80">
        <f>_xlfn.COMPOUNDVALUE(942)</f>
        <v>46.061085243524374</v>
      </c>
      <c r="H96" s="81">
        <f>_xlfn.COMPOUNDVALUE(1044)</f>
        <v>45.95827353556806</v>
      </c>
      <c r="I96" s="82">
        <f>_xlfn.COMPOUNDVALUE(1073)</f>
        <v>45.33890502140989</v>
      </c>
      <c r="J96" s="83">
        <f>_xlfn.COMPOUNDVALUE(1089)</f>
        <v>43.70354130635392</v>
      </c>
      <c r="K96" s="80">
        <f>_xlfn.COMPOUNDVALUE(751)</f>
        <v>42.368139630293015</v>
      </c>
      <c r="L96" s="81">
        <f>_xlfn.COMPOUNDVALUE(816)</f>
        <v>40.496178266325025</v>
      </c>
      <c r="M96" s="82">
        <f>_xlfn.COMPOUNDVALUE(743)</f>
        <v>43.81008708233866</v>
      </c>
      <c r="N96" s="83">
        <f>_xlfn.COMPOUNDVALUE(685)</f>
        <v>42.40567567021398</v>
      </c>
      <c r="O96" s="80">
        <f>_xlfn.COMPOUNDVALUE(975)</f>
        <v>43.02183700861989</v>
      </c>
      <c r="P96" s="81">
        <f>_xlfn.COMPOUNDVALUE(846)</f>
        <v>42.993142843620845</v>
      </c>
      <c r="Q96" s="82">
        <f>_xlfn.COMPOUNDVALUE(929)</f>
        <v>42.17901042297986</v>
      </c>
      <c r="R96" s="83">
        <f>_xlfn.COMPOUNDVALUE(580)</f>
        <v>41.93211559102336</v>
      </c>
      <c r="S96" s="80">
        <f>_xlfn.COMPOUNDVALUE(797)</f>
        <v>40.97666644732194</v>
      </c>
      <c r="T96" s="81">
        <f>_xlfn.COMPOUNDVALUE(994)</f>
        <v>42.407704396969116</v>
      </c>
      <c r="U96" s="82">
        <f>_xlfn.COMPOUNDVALUE(787)</f>
        <v>41.09364451480834</v>
      </c>
      <c r="V96" s="83">
        <f>_xlfn.COMPOUNDVALUE(653)</f>
        <v>39.88983308347658</v>
      </c>
      <c r="W96" s="80">
        <f>_xlfn.COMPOUNDVALUE(891)</f>
        <v>41.411035957151945</v>
      </c>
      <c r="X96" s="83">
        <f>_xlfn.COMPOUNDVALUE(870)</f>
        <v>40.33606627591031</v>
      </c>
    </row>
    <row r="97" spans="1:24" ht="7.5" customHeight="1" thickBot="1">
      <c r="A97" s="9" t="e">
        <f t="shared" si="2"/>
        <v>#REF!</v>
      </c>
      <c r="D97" s="217"/>
      <c r="E97" s="25"/>
      <c r="F97" s="25"/>
      <c r="G97" s="84"/>
      <c r="H97" s="85"/>
      <c r="I97" s="86"/>
      <c r="J97" s="87"/>
      <c r="K97" s="84"/>
      <c r="L97" s="85"/>
      <c r="M97" s="86"/>
      <c r="N97" s="87"/>
      <c r="O97" s="84"/>
      <c r="P97" s="85"/>
      <c r="Q97" s="86"/>
      <c r="R97" s="87"/>
      <c r="S97" s="84"/>
      <c r="T97" s="85"/>
      <c r="U97" s="86"/>
      <c r="V97" s="87"/>
      <c r="W97" s="84"/>
      <c r="X97" s="87"/>
    </row>
    <row r="98" spans="1:24" ht="15" thickBot="1">
      <c r="A98" s="9" t="e">
        <f t="shared" si="2"/>
        <v>#REF!</v>
      </c>
      <c r="C98" s="60"/>
      <c r="D98" s="132" t="s">
        <v>36</v>
      </c>
      <c r="E98" s="25"/>
      <c r="F98" s="25"/>
      <c r="G98" s="146">
        <f>_xlfn.COMPOUNDVALUE(948)</f>
        <v>1132</v>
      </c>
      <c r="H98" s="147">
        <f>_xlfn.COMPOUNDVALUE(1034)</f>
        <v>964</v>
      </c>
      <c r="I98" s="148">
        <f>_xlfn.COMPOUNDVALUE(1065)</f>
        <v>1069</v>
      </c>
      <c r="J98" s="149">
        <f>_xlfn.COMPOUNDVALUE(1092)</f>
        <v>933</v>
      </c>
      <c r="K98" s="146">
        <f>_xlfn.COMPOUNDVALUE(758)</f>
        <v>740</v>
      </c>
      <c r="L98" s="147">
        <f>_xlfn.COMPOUNDVALUE(825)</f>
        <v>729</v>
      </c>
      <c r="M98" s="148">
        <f>_xlfn.COMPOUNDVALUE(727)</f>
        <v>778</v>
      </c>
      <c r="N98" s="149">
        <f>_xlfn.COMPOUNDVALUE(687)</f>
        <v>927</v>
      </c>
      <c r="O98" s="146">
        <f>_xlfn.COMPOUNDVALUE(980)</f>
        <v>1168</v>
      </c>
      <c r="P98" s="147">
        <f>_xlfn.COMPOUNDVALUE(837)</f>
        <v>730</v>
      </c>
      <c r="Q98" s="148">
        <f>_xlfn.COMPOUNDVALUE(920)</f>
        <v>562</v>
      </c>
      <c r="R98" s="149">
        <f>_xlfn.COMPOUNDVALUE(583)</f>
        <v>487</v>
      </c>
      <c r="S98" s="146">
        <f>_xlfn.COMPOUNDVALUE(804)</f>
        <v>345</v>
      </c>
      <c r="T98" s="147">
        <f>_xlfn.COMPOUNDVALUE(1001)</f>
        <v>538</v>
      </c>
      <c r="U98" s="148">
        <f>_xlfn.COMPOUNDVALUE(771)</f>
        <v>364</v>
      </c>
      <c r="V98" s="149">
        <f>_xlfn.COMPOUNDVALUE(655)</f>
        <v>412</v>
      </c>
      <c r="W98" s="146">
        <f>_xlfn.COMPOUNDVALUE(895)</f>
        <v>791</v>
      </c>
      <c r="X98" s="149">
        <f>_xlfn.COMPOUNDVALUE(859)</f>
        <v>644</v>
      </c>
    </row>
    <row r="99" spans="1:24" ht="16.5" customHeight="1" thickBot="1">
      <c r="A99" s="9" t="e">
        <f t="shared" si="2"/>
        <v>#REF!</v>
      </c>
      <c r="D99" s="24"/>
      <c r="E99" s="25"/>
      <c r="F99" s="25"/>
      <c r="G99" s="25"/>
      <c r="H99" s="25"/>
      <c r="I99" s="25"/>
      <c r="J99" s="25"/>
      <c r="K99" s="25"/>
      <c r="L99" s="25"/>
      <c r="M99" s="25"/>
      <c r="N99" s="25"/>
      <c r="O99" s="25"/>
      <c r="P99" s="25"/>
      <c r="Q99" s="25"/>
      <c r="R99" s="25"/>
      <c r="S99" s="25"/>
      <c r="T99" s="25"/>
      <c r="U99" s="25"/>
      <c r="V99" s="25"/>
      <c r="W99" s="25"/>
      <c r="X99" s="26"/>
    </row>
    <row r="100" spans="1:24" ht="20.25" thickBot="1">
      <c r="A100" s="9" t="e">
        <f t="shared" si="2"/>
        <v>#REF!</v>
      </c>
      <c r="C100" s="10"/>
      <c r="D100" s="1" t="s">
        <v>186</v>
      </c>
      <c r="E100" s="252"/>
      <c r="F100" s="252"/>
      <c r="G100" s="252"/>
      <c r="H100" s="252"/>
      <c r="I100" s="252"/>
      <c r="J100" s="252"/>
      <c r="K100" s="252"/>
      <c r="L100" s="252"/>
      <c r="M100" s="252"/>
      <c r="N100" s="252"/>
      <c r="O100" s="252"/>
      <c r="P100" s="252"/>
      <c r="Q100" s="252"/>
      <c r="R100" s="252"/>
      <c r="S100" s="252"/>
      <c r="T100" s="252"/>
      <c r="U100" s="252"/>
      <c r="V100" s="252"/>
      <c r="W100" s="252"/>
      <c r="X100" s="253"/>
    </row>
    <row r="101" spans="1:24" ht="15" thickBot="1">
      <c r="A101" s="9" t="e">
        <f t="shared" si="2"/>
        <v>#REF!</v>
      </c>
      <c r="C101" s="60"/>
      <c r="D101" s="115" t="s">
        <v>1</v>
      </c>
      <c r="E101" s="27"/>
      <c r="F101" s="20">
        <f>_xlfn.COMPOUNDVALUE(1100)</f>
        <v>110319</v>
      </c>
      <c r="G101" s="158">
        <f>_xlfn.COMPOUNDVALUE(943)</f>
        <v>113648</v>
      </c>
      <c r="H101" s="159">
        <v>117292</v>
      </c>
      <c r="I101" s="160">
        <v>120342</v>
      </c>
      <c r="J101" s="161">
        <v>121654</v>
      </c>
      <c r="K101" s="158">
        <v>122999</v>
      </c>
      <c r="L101" s="159">
        <v>125390</v>
      </c>
      <c r="M101" s="160">
        <v>127498</v>
      </c>
      <c r="N101" s="161">
        <v>128678</v>
      </c>
      <c r="O101" s="158">
        <v>129980</v>
      </c>
      <c r="P101" s="159">
        <v>132921</v>
      </c>
      <c r="Q101" s="160">
        <v>134588</v>
      </c>
      <c r="R101" s="161">
        <v>135758</v>
      </c>
      <c r="S101" s="158">
        <v>137449</v>
      </c>
      <c r="T101" s="159">
        <v>140711</v>
      </c>
      <c r="U101" s="160">
        <v>141987</v>
      </c>
      <c r="V101" s="161">
        <v>143010</v>
      </c>
      <c r="W101" s="158">
        <v>144800</v>
      </c>
      <c r="X101" s="161">
        <v>148411</v>
      </c>
    </row>
    <row r="102" spans="1:24" ht="15" thickBot="1">
      <c r="A102" s="9" t="e">
        <f t="shared" si="2"/>
        <v>#REF!</v>
      </c>
      <c r="D102" s="213" t="s">
        <v>195</v>
      </c>
      <c r="E102" s="25"/>
      <c r="F102" s="20">
        <f>_xlfn.COMPOUNDVALUE(1100)</f>
        <v>476</v>
      </c>
      <c r="G102" s="47">
        <f>_xlfn.COMPOUNDVALUE(943)</f>
        <v>273</v>
      </c>
      <c r="H102" s="48">
        <v>203</v>
      </c>
      <c r="I102" s="49">
        <v>150</v>
      </c>
      <c r="J102" s="50">
        <v>0</v>
      </c>
      <c r="K102" s="47">
        <v>0</v>
      </c>
      <c r="L102" s="48">
        <v>0</v>
      </c>
      <c r="M102" s="49">
        <v>0</v>
      </c>
      <c r="N102" s="50">
        <v>0</v>
      </c>
      <c r="O102" s="47">
        <v>0</v>
      </c>
      <c r="P102" s="48">
        <v>0</v>
      </c>
      <c r="Q102" s="49">
        <v>0</v>
      </c>
      <c r="R102" s="50">
        <v>0</v>
      </c>
      <c r="S102" s="47">
        <v>0</v>
      </c>
      <c r="T102" s="48">
        <v>0</v>
      </c>
      <c r="U102" s="49">
        <v>0</v>
      </c>
      <c r="V102" s="50">
        <v>0</v>
      </c>
      <c r="W102" s="47">
        <v>0</v>
      </c>
      <c r="X102" s="50">
        <v>0</v>
      </c>
    </row>
    <row r="103" spans="1:24" ht="8.25" customHeight="1" thickBot="1">
      <c r="A103" s="9" t="e">
        <f t="shared" si="2"/>
        <v>#REF!</v>
      </c>
      <c r="D103" s="210"/>
      <c r="E103" s="25"/>
      <c r="F103" s="25"/>
      <c r="G103" s="51"/>
      <c r="H103" s="52"/>
      <c r="I103" s="53"/>
      <c r="J103" s="54"/>
      <c r="K103" s="51"/>
      <c r="L103" s="52"/>
      <c r="M103" s="53"/>
      <c r="N103" s="54"/>
      <c r="O103" s="51"/>
      <c r="P103" s="52"/>
      <c r="Q103" s="53"/>
      <c r="R103" s="54"/>
      <c r="S103" s="51"/>
      <c r="T103" s="52"/>
      <c r="U103" s="53"/>
      <c r="V103" s="54"/>
      <c r="W103" s="51"/>
      <c r="X103" s="54"/>
    </row>
    <row r="104" spans="1:24" ht="15" thickBot="1">
      <c r="A104" s="9" t="e">
        <f t="shared" si="2"/>
        <v>#REF!</v>
      </c>
      <c r="D104" s="213" t="s">
        <v>196</v>
      </c>
      <c r="E104" s="25"/>
      <c r="F104" s="20">
        <f>_xlfn.COMPOUNDVALUE(156)</f>
        <v>109843</v>
      </c>
      <c r="G104" s="47">
        <f>_xlfn.COMPOUNDVALUE(155)</f>
        <v>113375</v>
      </c>
      <c r="H104" s="48">
        <f>_xlfn.COMPOUNDVALUE(154)</f>
        <v>117089</v>
      </c>
      <c r="I104" s="49">
        <f>_xlfn.COMPOUNDVALUE(153)</f>
        <v>120192</v>
      </c>
      <c r="J104" s="50">
        <f>_xlfn.COMPOUNDVALUE(152)</f>
        <v>121654</v>
      </c>
      <c r="K104" s="47">
        <f>_xlfn.COMPOUNDVALUE(151)</f>
        <v>122999</v>
      </c>
      <c r="L104" s="48">
        <f>_xlfn.COMPOUNDVALUE(150)</f>
        <v>125390</v>
      </c>
      <c r="M104" s="49">
        <f>_xlfn.COMPOUNDVALUE(149)</f>
        <v>127498</v>
      </c>
      <c r="N104" s="50">
        <f>_xlfn.COMPOUNDVALUE(148)</f>
        <v>128678</v>
      </c>
      <c r="O104" s="47">
        <f>_xlfn.COMPOUNDVALUE(147)</f>
        <v>129980</v>
      </c>
      <c r="P104" s="48">
        <f>_xlfn.COMPOUNDVALUE(146)</f>
        <v>132921</v>
      </c>
      <c r="Q104" s="49">
        <f>_xlfn.COMPOUNDVALUE(145)</f>
        <v>134588</v>
      </c>
      <c r="R104" s="50">
        <f>_xlfn.COMPOUNDVALUE(144)</f>
        <v>135758</v>
      </c>
      <c r="S104" s="47">
        <f>_xlfn.COMPOUNDVALUE(143)</f>
        <v>137449</v>
      </c>
      <c r="T104" s="48">
        <f>_xlfn.COMPOUNDVALUE(142)</f>
        <v>140711</v>
      </c>
      <c r="U104" s="49">
        <f>_xlfn.COMPOUNDVALUE(358)</f>
        <v>141987</v>
      </c>
      <c r="V104" s="50">
        <f>_xlfn.COMPOUNDVALUE(466)</f>
        <v>143010</v>
      </c>
      <c r="W104" s="47">
        <f>_xlfn.COMPOUNDVALUE(504)</f>
        <v>144800</v>
      </c>
      <c r="X104" s="50">
        <f>_xlfn.COMPOUNDVALUE(530)</f>
        <v>148411</v>
      </c>
    </row>
    <row r="105" spans="1:24" ht="15" thickBot="1">
      <c r="A105" s="9" t="e">
        <f t="shared" si="2"/>
        <v>#REF!</v>
      </c>
      <c r="D105" s="215" t="s">
        <v>38</v>
      </c>
      <c r="E105" s="25" t="s">
        <v>39</v>
      </c>
      <c r="F105" s="20">
        <f>_xlfn.COMPOUNDVALUE(156)</f>
        <v>54380</v>
      </c>
      <c r="G105" s="94">
        <f>_xlfn.COMPOUNDVALUE(155)</f>
        <v>54498</v>
      </c>
      <c r="H105" s="95">
        <f>_xlfn.COMPOUNDVALUE(154)</f>
        <v>54223</v>
      </c>
      <c r="I105" s="96">
        <f>_xlfn.COMPOUNDVALUE(153)</f>
        <v>54056</v>
      </c>
      <c r="J105" s="97">
        <f>_xlfn.COMPOUNDVALUE(152)</f>
        <v>53600</v>
      </c>
      <c r="K105" s="94">
        <f>_xlfn.COMPOUNDVALUE(151)</f>
        <v>54184</v>
      </c>
      <c r="L105" s="95">
        <f>_xlfn.COMPOUNDVALUE(150)</f>
        <v>55567</v>
      </c>
      <c r="M105" s="96">
        <f>_xlfn.COMPOUNDVALUE(149)</f>
        <v>57116</v>
      </c>
      <c r="N105" s="97">
        <f>_xlfn.COMPOUNDVALUE(148)</f>
        <v>59084</v>
      </c>
      <c r="O105" s="94">
        <f>_xlfn.COMPOUNDVALUE(147)</f>
        <v>60489</v>
      </c>
      <c r="P105" s="95">
        <f>_xlfn.COMPOUNDVALUE(146)</f>
        <v>62581</v>
      </c>
      <c r="Q105" s="96">
        <f>_xlfn.COMPOUNDVALUE(145)</f>
        <v>63877</v>
      </c>
      <c r="R105" s="97">
        <f>_xlfn.COMPOUNDVALUE(144)</f>
        <v>64768</v>
      </c>
      <c r="S105" s="94">
        <f>_xlfn.COMPOUNDVALUE(143)</f>
        <v>66195</v>
      </c>
      <c r="T105" s="95">
        <f>_xlfn.COMPOUNDVALUE(142)</f>
        <v>68397</v>
      </c>
      <c r="U105" s="96">
        <f>_xlfn.COMPOUNDVALUE(358)</f>
        <v>69728</v>
      </c>
      <c r="V105" s="97">
        <f>_xlfn.COMPOUNDVALUE(466)</f>
        <v>70498</v>
      </c>
      <c r="W105" s="94">
        <f>_xlfn.COMPOUNDVALUE(504)</f>
        <v>71381</v>
      </c>
      <c r="X105" s="97">
        <f>_xlfn.COMPOUNDVALUE(530)</f>
        <v>73391</v>
      </c>
    </row>
    <row r="106" spans="1:24" ht="14.25">
      <c r="A106" s="9" t="e">
        <f t="shared" si="2"/>
        <v>#REF!</v>
      </c>
      <c r="D106" s="210" t="s">
        <v>27</v>
      </c>
      <c r="E106" s="25" t="s">
        <v>10</v>
      </c>
      <c r="F106" s="25"/>
      <c r="G106" s="51">
        <f>_xlfn.COMPOUNDVALUE(221)</f>
        <v>54498</v>
      </c>
      <c r="H106" s="52">
        <f>_xlfn.COMPOUNDVALUE(220)</f>
        <v>54223</v>
      </c>
      <c r="I106" s="53">
        <f>_xlfn.COMPOUNDVALUE(219)</f>
        <v>54056</v>
      </c>
      <c r="J106" s="54">
        <f>_xlfn.COMPOUNDVALUE(218)</f>
        <v>53600</v>
      </c>
      <c r="K106" s="51">
        <f>_xlfn.COMPOUNDVALUE(217)</f>
        <v>54184</v>
      </c>
      <c r="L106" s="52">
        <f>_xlfn.COMPOUNDVALUE(216)</f>
        <v>55567</v>
      </c>
      <c r="M106" s="53">
        <f>_xlfn.COMPOUNDVALUE(215)</f>
        <v>57116</v>
      </c>
      <c r="N106" s="54">
        <f>_xlfn.COMPOUNDVALUE(214)</f>
        <v>59084</v>
      </c>
      <c r="O106" s="51">
        <f>_xlfn.COMPOUNDVALUE(213)</f>
        <v>60489</v>
      </c>
      <c r="P106" s="52">
        <f>_xlfn.COMPOUNDVALUE(212)</f>
        <v>62581</v>
      </c>
      <c r="Q106" s="53">
        <f>_xlfn.COMPOUNDVALUE(211)</f>
        <v>63877</v>
      </c>
      <c r="R106" s="54">
        <f>_xlfn.COMPOUNDVALUE(210)</f>
        <v>64768</v>
      </c>
      <c r="S106" s="51">
        <f>_xlfn.COMPOUNDVALUE(209)</f>
        <v>66195</v>
      </c>
      <c r="T106" s="52">
        <f>_xlfn.COMPOUNDVALUE(208)</f>
        <v>68397</v>
      </c>
      <c r="U106" s="53">
        <f>_xlfn.COMPOUNDVALUE(361)</f>
        <v>69728</v>
      </c>
      <c r="V106" s="54">
        <f>_xlfn.COMPOUNDVALUE(469)</f>
        <v>70498</v>
      </c>
      <c r="W106" s="51">
        <f>_xlfn.COMPOUNDVALUE(498)</f>
        <v>71381</v>
      </c>
      <c r="X106" s="54">
        <f>_xlfn.COMPOUNDVALUE(538)</f>
        <v>73391</v>
      </c>
    </row>
    <row r="107" spans="1:24" ht="6" customHeight="1" thickBot="1">
      <c r="A107" s="9" t="e">
        <f t="shared" si="2"/>
        <v>#REF!</v>
      </c>
      <c r="D107" s="18"/>
      <c r="E107" s="25"/>
      <c r="F107" s="25"/>
      <c r="G107" s="24"/>
      <c r="H107" s="25"/>
      <c r="I107" s="25"/>
      <c r="J107" s="26"/>
      <c r="K107" s="24"/>
      <c r="L107" s="25"/>
      <c r="M107" s="25"/>
      <c r="N107" s="26"/>
      <c r="O107" s="24"/>
      <c r="P107" s="25"/>
      <c r="Q107" s="25"/>
      <c r="R107" s="26"/>
      <c r="S107" s="24"/>
      <c r="T107" s="25"/>
      <c r="U107" s="25"/>
      <c r="V107" s="26"/>
      <c r="W107" s="24"/>
      <c r="X107" s="26"/>
    </row>
    <row r="108" spans="1:24" ht="15" thickBot="1">
      <c r="A108" s="9" t="e">
        <f t="shared" si="2"/>
        <v>#REF!</v>
      </c>
      <c r="D108" s="215" t="s">
        <v>40</v>
      </c>
      <c r="E108" s="25" t="s">
        <v>41</v>
      </c>
      <c r="F108" s="20">
        <f>_xlfn.COMPOUNDVALUE(483)</f>
        <v>51585</v>
      </c>
      <c r="G108" s="94">
        <f>_xlfn.COMPOUNDVALUE(953)</f>
        <v>54908</v>
      </c>
      <c r="H108" s="95">
        <f>_xlfn.COMPOUNDVALUE(1047)</f>
        <v>58787</v>
      </c>
      <c r="I108" s="96">
        <f>_xlfn.COMPOUNDVALUE(1059)</f>
        <v>61727</v>
      </c>
      <c r="J108" s="97">
        <f>_xlfn.COMPOUNDVALUE(1078)</f>
        <v>63394</v>
      </c>
      <c r="K108" s="94">
        <f>_xlfn.COMPOUNDVALUE(762)</f>
        <v>64580</v>
      </c>
      <c r="L108" s="95">
        <f>_xlfn.COMPOUNDVALUE(827)</f>
        <v>65809</v>
      </c>
      <c r="M108" s="96">
        <f>_xlfn.COMPOUNDVALUE(731)</f>
        <v>66586</v>
      </c>
      <c r="N108" s="97">
        <f>_xlfn.COMPOUNDVALUE(683)</f>
        <v>66084</v>
      </c>
      <c r="O108" s="94">
        <f>_xlfn.COMPOUNDVALUE(983)</f>
        <v>66236</v>
      </c>
      <c r="P108" s="95">
        <f>_xlfn.COMPOUNDVALUE(850)</f>
        <v>67247</v>
      </c>
      <c r="Q108" s="96">
        <f>_xlfn.COMPOUNDVALUE(915)</f>
        <v>67796</v>
      </c>
      <c r="R108" s="97">
        <f>_xlfn.COMPOUNDVALUE(567)</f>
        <v>68053</v>
      </c>
      <c r="S108" s="94">
        <f>_xlfn.COMPOUNDVALUE(808)</f>
        <v>68534</v>
      </c>
      <c r="T108" s="95">
        <f>_xlfn.COMPOUNDVALUE(1005)</f>
        <v>69682</v>
      </c>
      <c r="U108" s="96">
        <f>_xlfn.COMPOUNDVALUE(776)</f>
        <v>69711</v>
      </c>
      <c r="V108" s="97">
        <f>_xlfn.COMPOUNDVALUE(650)</f>
        <v>70052</v>
      </c>
      <c r="W108" s="94">
        <f>_xlfn.COMPOUNDVALUE(898)</f>
        <v>71181</v>
      </c>
      <c r="X108" s="97">
        <f>_xlfn.COMPOUNDVALUE(873)</f>
        <v>72859</v>
      </c>
    </row>
    <row r="109" spans="1:24" ht="14.25">
      <c r="A109" s="9" t="e">
        <f t="shared" si="2"/>
        <v>#REF!</v>
      </c>
      <c r="D109" s="210" t="s">
        <v>26</v>
      </c>
      <c r="E109" s="25" t="s">
        <v>9</v>
      </c>
      <c r="F109" s="25"/>
      <c r="G109" s="51">
        <f>_xlfn.COMPOUNDVALUE(207)</f>
        <v>52756</v>
      </c>
      <c r="H109" s="52">
        <f>_xlfn.COMPOUNDVALUE(206)</f>
        <v>56750</v>
      </c>
      <c r="I109" s="53">
        <f>_xlfn.COMPOUNDVALUE(205)</f>
        <v>59885</v>
      </c>
      <c r="J109" s="54">
        <f>_xlfn.COMPOUNDVALUE(204)</f>
        <v>62934</v>
      </c>
      <c r="K109" s="51">
        <f>_xlfn.COMPOUNDVALUE(203)</f>
        <v>64120</v>
      </c>
      <c r="L109" s="52">
        <f>_xlfn.COMPOUNDVALUE(202)</f>
        <v>65363</v>
      </c>
      <c r="M109" s="53">
        <f>_xlfn.COMPOUNDVALUE(201)</f>
        <v>66163</v>
      </c>
      <c r="N109" s="54">
        <f>_xlfn.COMPOUNDVALUE(200)</f>
        <v>65720</v>
      </c>
      <c r="O109" s="51">
        <f>_xlfn.COMPOUNDVALUE(199)</f>
        <v>65869</v>
      </c>
      <c r="P109" s="52">
        <f>_xlfn.COMPOUNDVALUE(198)</f>
        <v>66906</v>
      </c>
      <c r="Q109" s="53">
        <f>_xlfn.COMPOUNDVALUE(197)</f>
        <v>67466</v>
      </c>
      <c r="R109" s="54">
        <f>_xlfn.COMPOUNDVALUE(196)</f>
        <v>67732</v>
      </c>
      <c r="S109" s="51">
        <f>_xlfn.COMPOUNDVALUE(195)</f>
        <v>68243</v>
      </c>
      <c r="T109" s="52">
        <f>_xlfn.COMPOUNDVALUE(194)</f>
        <v>69395</v>
      </c>
      <c r="U109" s="53">
        <f>_xlfn.COMPOUNDVALUE(355)</f>
        <v>69427</v>
      </c>
      <c r="V109" s="54">
        <f>_xlfn.COMPOUNDVALUE(464)</f>
        <v>69792</v>
      </c>
      <c r="W109" s="51">
        <f>_xlfn.COMPOUNDVALUE(500)</f>
        <v>70944</v>
      </c>
      <c r="X109" s="54">
        <f>_xlfn.COMPOUNDVALUE(517)</f>
        <v>72630</v>
      </c>
    </row>
    <row r="110" spans="1:24" ht="14.25">
      <c r="A110" s="9" t="e">
        <f t="shared" si="2"/>
        <v>#REF!</v>
      </c>
      <c r="D110" s="210" t="s">
        <v>30</v>
      </c>
      <c r="E110" s="25" t="s">
        <v>34</v>
      </c>
      <c r="F110" s="25"/>
      <c r="G110" s="51">
        <v>0</v>
      </c>
      <c r="H110" s="52">
        <f>_xlfn.COMPOUNDVALUE(193)</f>
        <v>29</v>
      </c>
      <c r="I110" s="53">
        <f>_xlfn.COMPOUNDVALUE(192)</f>
        <v>34</v>
      </c>
      <c r="J110" s="54">
        <f>_xlfn.COMPOUNDVALUE(191)</f>
        <v>24</v>
      </c>
      <c r="K110" s="51">
        <f>_xlfn.COMPOUNDVALUE(190)</f>
        <v>24</v>
      </c>
      <c r="L110" s="52">
        <f>_xlfn.COMPOUNDVALUE(189)</f>
        <v>24</v>
      </c>
      <c r="M110" s="53">
        <f>_xlfn.COMPOUNDVALUE(188)</f>
        <v>27</v>
      </c>
      <c r="N110" s="54">
        <f>_xlfn.COMPOUNDVALUE(187)</f>
        <v>27</v>
      </c>
      <c r="O110" s="51">
        <f>_xlfn.COMPOUNDVALUE(186)</f>
        <v>27</v>
      </c>
      <c r="P110" s="52">
        <f>_xlfn.COMPOUNDVALUE(185)</f>
        <v>21</v>
      </c>
      <c r="Q110" s="53">
        <f>_xlfn.COMPOUNDVALUE(184)</f>
        <v>22</v>
      </c>
      <c r="R110" s="54">
        <f>_xlfn.COMPOUNDVALUE(183)</f>
        <v>23</v>
      </c>
      <c r="S110" s="51">
        <f>_xlfn.COMPOUNDVALUE(182)</f>
        <v>24</v>
      </c>
      <c r="T110" s="52">
        <f>_xlfn.COMPOUNDVALUE(181)</f>
        <v>24</v>
      </c>
      <c r="U110" s="53">
        <f>_xlfn.COMPOUNDVALUE(360)</f>
        <v>24</v>
      </c>
      <c r="V110" s="54">
        <f>_xlfn.COMPOUNDVALUE(476)</f>
        <v>24</v>
      </c>
      <c r="W110" s="51">
        <f>_xlfn.COMPOUNDVALUE(506)</f>
        <v>24</v>
      </c>
      <c r="X110" s="54">
        <f>_xlfn.COMPOUNDVALUE(518)</f>
        <v>24</v>
      </c>
    </row>
    <row r="111" spans="1:24" ht="14.25">
      <c r="A111" s="9" t="e">
        <f t="shared" si="2"/>
        <v>#REF!</v>
      </c>
      <c r="D111" s="210" t="s">
        <v>29</v>
      </c>
      <c r="E111" s="25" t="s">
        <v>33</v>
      </c>
      <c r="F111" s="25"/>
      <c r="G111" s="51">
        <v>0</v>
      </c>
      <c r="H111" s="52">
        <v>0</v>
      </c>
      <c r="I111" s="53">
        <v>0</v>
      </c>
      <c r="J111" s="54">
        <v>0</v>
      </c>
      <c r="K111" s="51">
        <f>_xlfn.COMPOUNDVALUE(180)</f>
        <v>76</v>
      </c>
      <c r="L111" s="52">
        <f>_xlfn.COMPOUNDVALUE(179)</f>
        <v>71</v>
      </c>
      <c r="M111" s="53">
        <f>_xlfn.COMPOUNDVALUE(178)</f>
        <v>69</v>
      </c>
      <c r="N111" s="54">
        <f>_xlfn.COMPOUNDVALUE(177)</f>
        <v>68</v>
      </c>
      <c r="O111" s="51">
        <f>_xlfn.COMPOUNDVALUE(176)</f>
        <v>69</v>
      </c>
      <c r="P111" s="52">
        <f>_xlfn.COMPOUNDVALUE(175)</f>
        <v>63</v>
      </c>
      <c r="Q111" s="53">
        <f>_xlfn.COMPOUNDVALUE(174)</f>
        <v>61</v>
      </c>
      <c r="R111" s="54">
        <f>_xlfn.COMPOUNDVALUE(173)</f>
        <v>59</v>
      </c>
      <c r="S111" s="51">
        <f>_xlfn.COMPOUNDVALUE(172)</f>
        <v>57</v>
      </c>
      <c r="T111" s="52">
        <f>_xlfn.COMPOUNDVALUE(171)</f>
        <v>55</v>
      </c>
      <c r="U111" s="53">
        <f>_xlfn.COMPOUNDVALUE(357)</f>
        <v>53</v>
      </c>
      <c r="V111" s="54">
        <f>_xlfn.COMPOUNDVALUE(460)</f>
        <v>51</v>
      </c>
      <c r="W111" s="51">
        <f>_xlfn.COMPOUNDVALUE(497)</f>
        <v>42</v>
      </c>
      <c r="X111" s="54">
        <f>_xlfn.COMPOUNDVALUE(519)</f>
        <v>40</v>
      </c>
    </row>
    <row r="112" spans="1:24" ht="14.25">
      <c r="A112" s="9" t="e">
        <f t="shared" si="2"/>
        <v>#REF!</v>
      </c>
      <c r="D112" s="210" t="s">
        <v>42</v>
      </c>
      <c r="E112" s="25"/>
      <c r="F112" s="25"/>
      <c r="G112" s="51">
        <f>_xlfn.COMPOUNDVALUE(953)</f>
        <v>2152</v>
      </c>
      <c r="H112" s="52">
        <f>_xlfn.COMPOUNDVALUE(1047)</f>
        <v>2008</v>
      </c>
      <c r="I112" s="53">
        <f>_xlfn.COMPOUNDVALUE(1059)</f>
        <v>1808</v>
      </c>
      <c r="J112" s="54">
        <f>_xlfn.COMPOUNDVALUE(1078)</f>
        <v>436</v>
      </c>
      <c r="K112" s="51">
        <f>_xlfn.COMPOUNDVALUE(762)</f>
        <v>360</v>
      </c>
      <c r="L112" s="52">
        <f>_xlfn.COMPOUNDVALUE(827)</f>
        <v>351</v>
      </c>
      <c r="M112" s="53">
        <f>_xlfn.COMPOUNDVALUE(731)</f>
        <v>327</v>
      </c>
      <c r="N112" s="54">
        <f>_xlfn.COMPOUNDVALUE(683)</f>
        <v>269</v>
      </c>
      <c r="O112" s="51">
        <f>_xlfn.COMPOUNDVALUE(983)</f>
        <v>271</v>
      </c>
      <c r="P112" s="52">
        <f>_xlfn.COMPOUNDVALUE(850)</f>
        <v>257</v>
      </c>
      <c r="Q112" s="53">
        <f>_xlfn.COMPOUNDVALUE(915)</f>
        <v>247</v>
      </c>
      <c r="R112" s="54">
        <f>_xlfn.COMPOUNDVALUE(567)</f>
        <v>239</v>
      </c>
      <c r="S112" s="51">
        <f>_xlfn.COMPOUNDVALUE(808)</f>
        <v>210</v>
      </c>
      <c r="T112" s="52">
        <f>_xlfn.COMPOUNDVALUE(1005)</f>
        <v>208</v>
      </c>
      <c r="U112" s="53">
        <f>_xlfn.COMPOUNDVALUE(776)</f>
        <v>207</v>
      </c>
      <c r="V112" s="54">
        <f>_xlfn.COMPOUNDVALUE(650)</f>
        <v>185</v>
      </c>
      <c r="W112" s="51">
        <f>_xlfn.COMPOUNDVALUE(898)</f>
        <v>171</v>
      </c>
      <c r="X112" s="54">
        <f>_xlfn.COMPOUNDVALUE(873)</f>
        <v>165</v>
      </c>
    </row>
    <row r="113" spans="1:24" ht="4.5" customHeight="1" thickBot="1">
      <c r="A113" s="9" t="e">
        <f t="shared" si="2"/>
        <v>#REF!</v>
      </c>
      <c r="D113" s="18"/>
      <c r="E113" s="25"/>
      <c r="F113" s="25"/>
      <c r="G113" s="24"/>
      <c r="H113" s="25"/>
      <c r="I113" s="25"/>
      <c r="J113" s="26"/>
      <c r="K113" s="24"/>
      <c r="L113" s="25"/>
      <c r="M113" s="25"/>
      <c r="N113" s="26"/>
      <c r="O113" s="24"/>
      <c r="P113" s="25"/>
      <c r="Q113" s="25"/>
      <c r="R113" s="26"/>
      <c r="S113" s="24"/>
      <c r="T113" s="25"/>
      <c r="U113" s="25"/>
      <c r="V113" s="26"/>
      <c r="W113" s="24"/>
      <c r="X113" s="26"/>
    </row>
    <row r="114" spans="1:24" ht="15" thickBot="1">
      <c r="A114" s="9" t="e">
        <f t="shared" si="2"/>
        <v>#REF!</v>
      </c>
      <c r="D114" s="215" t="s">
        <v>197</v>
      </c>
      <c r="E114" s="25" t="s">
        <v>43</v>
      </c>
      <c r="F114" s="20">
        <f>_xlfn.COMPOUNDVALUE(482)</f>
        <v>3400</v>
      </c>
      <c r="G114" s="94">
        <f>_xlfn.COMPOUNDVALUE(938)</f>
        <v>3969</v>
      </c>
      <c r="H114" s="95">
        <f>_xlfn.COMPOUNDVALUE(1048)</f>
        <v>4079</v>
      </c>
      <c r="I114" s="96">
        <f>_xlfn.COMPOUNDVALUE(1070)</f>
        <v>4409</v>
      </c>
      <c r="J114" s="97">
        <f>_xlfn.COMPOUNDVALUE(1086)</f>
        <v>4660</v>
      </c>
      <c r="K114" s="94">
        <f>_xlfn.COMPOUNDVALUE(755)</f>
        <v>4235</v>
      </c>
      <c r="L114" s="95">
        <f>_xlfn.COMPOUNDVALUE(828)</f>
        <v>4014</v>
      </c>
      <c r="M114" s="96">
        <f>_xlfn.COMPOUNDVALUE(737)</f>
        <v>3796</v>
      </c>
      <c r="N114" s="97">
        <f>_xlfn.COMPOUNDVALUE(676)</f>
        <v>3510</v>
      </c>
      <c r="O114" s="94">
        <f>_xlfn.COMPOUNDVALUE(967)</f>
        <v>3255</v>
      </c>
      <c r="P114" s="95">
        <f>_xlfn.COMPOUNDVALUE(852)</f>
        <v>3093</v>
      </c>
      <c r="Q114" s="96">
        <f>_xlfn.COMPOUNDVALUE(925)</f>
        <v>2915</v>
      </c>
      <c r="R114" s="97">
        <f>_xlfn.COMPOUNDVALUE(576)</f>
        <v>2937</v>
      </c>
      <c r="S114" s="94">
        <f>_xlfn.COMPOUNDVALUE(802)</f>
        <v>2720</v>
      </c>
      <c r="T114" s="95">
        <f>_xlfn.COMPOUNDVALUE(1007)</f>
        <v>2632</v>
      </c>
      <c r="U114" s="96">
        <f>_xlfn.COMPOUNDVALUE(781)</f>
        <v>2548</v>
      </c>
      <c r="V114" s="97">
        <f>_xlfn.COMPOUNDVALUE(643)</f>
        <v>2460</v>
      </c>
      <c r="W114" s="94">
        <f>_xlfn.COMPOUNDVALUE(883)</f>
        <v>2238</v>
      </c>
      <c r="X114" s="97">
        <f>_xlfn.COMPOUNDVALUE(875)</f>
        <v>2161</v>
      </c>
    </row>
    <row r="115" spans="1:24" ht="14.25">
      <c r="A115" s="9" t="e">
        <f t="shared" si="2"/>
        <v>#REF!</v>
      </c>
      <c r="D115" s="210" t="s">
        <v>29</v>
      </c>
      <c r="E115" s="25" t="s">
        <v>33</v>
      </c>
      <c r="F115" s="25"/>
      <c r="G115" s="51">
        <f>_xlfn.COMPOUNDVALUE(938)</f>
        <v>294</v>
      </c>
      <c r="H115" s="52">
        <f>_xlfn.COMPOUNDVALUE(1048)</f>
        <v>290</v>
      </c>
      <c r="I115" s="53">
        <f>_xlfn.COMPOUNDVALUE(1070)</f>
        <v>301</v>
      </c>
      <c r="J115" s="54">
        <f>_xlfn.COMPOUNDVALUE(1086)</f>
        <v>338</v>
      </c>
      <c r="K115" s="51">
        <f>_xlfn.COMPOUNDVALUE(755)</f>
        <v>310</v>
      </c>
      <c r="L115" s="52">
        <f>_xlfn.COMPOUNDVALUE(828)</f>
        <v>312</v>
      </c>
      <c r="M115" s="53">
        <f>_xlfn.COMPOUNDVALUE(737)</f>
        <v>330</v>
      </c>
      <c r="N115" s="54">
        <f>_xlfn.COMPOUNDVALUE(676)</f>
        <v>309</v>
      </c>
      <c r="O115" s="51">
        <f>_xlfn.COMPOUNDVALUE(967)</f>
        <v>313</v>
      </c>
      <c r="P115" s="52">
        <f>_xlfn.COMPOUNDVALUE(852)</f>
        <v>313</v>
      </c>
      <c r="Q115" s="53">
        <f>_xlfn.COMPOUNDVALUE(925)</f>
        <v>315</v>
      </c>
      <c r="R115" s="54">
        <f>_xlfn.COMPOUNDVALUE(576)</f>
        <v>332</v>
      </c>
      <c r="S115" s="51">
        <f>_xlfn.COMPOUNDVALUE(802)</f>
        <v>325</v>
      </c>
      <c r="T115" s="52">
        <f>_xlfn.COMPOUNDVALUE(1007)</f>
        <v>342</v>
      </c>
      <c r="U115" s="53">
        <f>_xlfn.COMPOUNDVALUE(781)</f>
        <v>343</v>
      </c>
      <c r="V115" s="54">
        <f>_xlfn.COMPOUNDVALUE(643)</f>
        <v>354</v>
      </c>
      <c r="W115" s="51">
        <f>_xlfn.COMPOUNDVALUE(883)</f>
        <v>330</v>
      </c>
      <c r="X115" s="54">
        <f>_xlfn.COMPOUNDVALUE(875)</f>
        <v>350</v>
      </c>
    </row>
    <row r="116" spans="1:24" ht="14.25">
      <c r="A116" s="9" t="e">
        <f t="shared" si="2"/>
        <v>#REF!</v>
      </c>
      <c r="D116" s="210" t="s">
        <v>44</v>
      </c>
      <c r="E116" s="25" t="s">
        <v>32</v>
      </c>
      <c r="F116" s="25"/>
      <c r="G116" s="51">
        <f>_xlfn.COMPOUNDVALUE(306)</f>
        <v>196</v>
      </c>
      <c r="H116" s="52">
        <f>_xlfn.COMPOUNDVALUE(305)</f>
        <v>201</v>
      </c>
      <c r="I116" s="53">
        <f>_xlfn.COMPOUNDVALUE(304)</f>
        <v>203</v>
      </c>
      <c r="J116" s="54">
        <f>_xlfn.COMPOUNDVALUE(303)</f>
        <v>205</v>
      </c>
      <c r="K116" s="51">
        <f>_xlfn.COMPOUNDVALUE(302)</f>
        <v>216</v>
      </c>
      <c r="L116" s="52">
        <f>_xlfn.COMPOUNDVALUE(301)</f>
        <v>148</v>
      </c>
      <c r="M116" s="53">
        <f>_xlfn.COMPOUNDVALUE(300)</f>
        <v>151</v>
      </c>
      <c r="N116" s="54">
        <f>_xlfn.COMPOUNDVALUE(299)</f>
        <v>160</v>
      </c>
      <c r="O116" s="51">
        <f>_xlfn.COMPOUNDVALUE(298)</f>
        <v>168</v>
      </c>
      <c r="P116" s="52">
        <f>_xlfn.COMPOUNDVALUE(297)</f>
        <v>169</v>
      </c>
      <c r="Q116" s="53">
        <f>_xlfn.COMPOUNDVALUE(296)</f>
        <v>173</v>
      </c>
      <c r="R116" s="54">
        <f>_xlfn.COMPOUNDVALUE(295)</f>
        <v>178</v>
      </c>
      <c r="S116" s="51">
        <f>_xlfn.COMPOUNDVALUE(294)</f>
        <v>181</v>
      </c>
      <c r="T116" s="52">
        <f>_xlfn.COMPOUNDVALUE(293)</f>
        <v>181</v>
      </c>
      <c r="U116" s="53">
        <f>_xlfn.COMPOUNDVALUE(351)</f>
        <v>182</v>
      </c>
      <c r="V116" s="54">
        <f>_xlfn.COMPOUNDVALUE(458)</f>
        <v>180</v>
      </c>
      <c r="W116" s="51">
        <f>_xlfn.COMPOUNDVALUE(503)</f>
        <v>217</v>
      </c>
      <c r="X116" s="54">
        <f>_xlfn.COMPOUNDVALUE(539)</f>
        <v>217</v>
      </c>
    </row>
    <row r="117" spans="1:24" ht="14.25">
      <c r="A117" s="9" t="e">
        <f t="shared" si="2"/>
        <v>#REF!</v>
      </c>
      <c r="D117" s="210" t="s">
        <v>28</v>
      </c>
      <c r="E117" s="25" t="s">
        <v>11</v>
      </c>
      <c r="F117" s="25"/>
      <c r="G117" s="51">
        <f>_xlfn.COMPOUNDVALUE(170)</f>
        <v>3479</v>
      </c>
      <c r="H117" s="52">
        <f>_xlfn.COMPOUNDVALUE(169)</f>
        <v>3588</v>
      </c>
      <c r="I117" s="53">
        <f>_xlfn.COMPOUNDVALUE(168)</f>
        <v>3905</v>
      </c>
      <c r="J117" s="54">
        <f>_xlfn.COMPOUNDVALUE(167)</f>
        <v>4117</v>
      </c>
      <c r="K117" s="51">
        <f>_xlfn.COMPOUNDVALUE(166)</f>
        <v>3709</v>
      </c>
      <c r="L117" s="52">
        <f>_xlfn.COMPOUNDVALUE(165)</f>
        <v>3554</v>
      </c>
      <c r="M117" s="53">
        <f>_xlfn.COMPOUNDVALUE(164)</f>
        <v>3315</v>
      </c>
      <c r="N117" s="54">
        <f>_xlfn.COMPOUNDVALUE(163)</f>
        <v>3041</v>
      </c>
      <c r="O117" s="51">
        <f>_xlfn.COMPOUNDVALUE(162)</f>
        <v>2774</v>
      </c>
      <c r="P117" s="52">
        <f>_xlfn.COMPOUNDVALUE(161)</f>
        <v>2611</v>
      </c>
      <c r="Q117" s="53">
        <f>_xlfn.COMPOUNDVALUE(160)</f>
        <v>2427</v>
      </c>
      <c r="R117" s="54">
        <f>_xlfn.COMPOUNDVALUE(159)</f>
        <v>2427</v>
      </c>
      <c r="S117" s="51">
        <f>_xlfn.COMPOUNDVALUE(158)</f>
        <v>2214</v>
      </c>
      <c r="T117" s="52">
        <f>_xlfn.COMPOUNDVALUE(157)</f>
        <v>2109</v>
      </c>
      <c r="U117" s="53">
        <f>_xlfn.COMPOUNDVALUE(349)</f>
        <v>2023</v>
      </c>
      <c r="V117" s="54">
        <f>_xlfn.COMPOUNDVALUE(463)</f>
        <v>1926</v>
      </c>
      <c r="W117" s="51">
        <f>_xlfn.COMPOUNDVALUE(492)</f>
        <v>1691</v>
      </c>
      <c r="X117" s="54">
        <f>_xlfn.COMPOUNDVALUE(536)</f>
        <v>1594</v>
      </c>
    </row>
    <row r="118" spans="1:24" ht="6" customHeight="1">
      <c r="A118" s="9" t="e">
        <f t="shared" si="2"/>
        <v>#REF!</v>
      </c>
      <c r="D118" s="18"/>
      <c r="E118" s="25"/>
      <c r="F118" s="25"/>
      <c r="G118" s="24"/>
      <c r="H118" s="25"/>
      <c r="I118" s="25"/>
      <c r="J118" s="26"/>
      <c r="K118" s="24"/>
      <c r="L118" s="25"/>
      <c r="M118" s="25"/>
      <c r="N118" s="26"/>
      <c r="O118" s="24"/>
      <c r="P118" s="25"/>
      <c r="Q118" s="25"/>
      <c r="R118" s="26"/>
      <c r="S118" s="24"/>
      <c r="T118" s="25"/>
      <c r="U118" s="25"/>
      <c r="V118" s="26"/>
      <c r="W118" s="24"/>
      <c r="X118" s="26"/>
    </row>
    <row r="119" spans="1:24" ht="14.25">
      <c r="A119" s="9" t="e">
        <f>#REF!+1</f>
        <v>#REF!</v>
      </c>
      <c r="D119" s="213" t="s">
        <v>198</v>
      </c>
      <c r="E119" s="25"/>
      <c r="F119" s="25"/>
      <c r="G119" s="47">
        <f>_xlfn.COMPOUNDVALUE(155)</f>
        <v>113375</v>
      </c>
      <c r="H119" s="48">
        <f>_xlfn.COMPOUNDVALUE(154)</f>
        <v>117089</v>
      </c>
      <c r="I119" s="49">
        <f>_xlfn.COMPOUNDVALUE(153)</f>
        <v>120192</v>
      </c>
      <c r="J119" s="50">
        <f>_xlfn.COMPOUNDVALUE(152)</f>
        <v>121654</v>
      </c>
      <c r="K119" s="47">
        <f>_xlfn.COMPOUNDVALUE(151)</f>
        <v>122999</v>
      </c>
      <c r="L119" s="48">
        <f>_xlfn.COMPOUNDVALUE(150)</f>
        <v>125390</v>
      </c>
      <c r="M119" s="49">
        <f>_xlfn.COMPOUNDVALUE(149)</f>
        <v>127498</v>
      </c>
      <c r="N119" s="50">
        <f>_xlfn.COMPOUNDVALUE(148)</f>
        <v>128678</v>
      </c>
      <c r="O119" s="47">
        <f>_xlfn.COMPOUNDVALUE(147)</f>
        <v>129980</v>
      </c>
      <c r="P119" s="48">
        <f>_xlfn.COMPOUNDVALUE(146)</f>
        <v>132921</v>
      </c>
      <c r="Q119" s="49">
        <f>_xlfn.COMPOUNDVALUE(145)</f>
        <v>134588</v>
      </c>
      <c r="R119" s="50">
        <f>_xlfn.COMPOUNDVALUE(144)</f>
        <v>135758</v>
      </c>
      <c r="S119" s="47">
        <f>_xlfn.COMPOUNDVALUE(143)</f>
        <v>137449</v>
      </c>
      <c r="T119" s="48">
        <f>_xlfn.COMPOUNDVALUE(142)</f>
        <v>140711</v>
      </c>
      <c r="U119" s="49">
        <f>_xlfn.COMPOUNDVALUE(358)</f>
        <v>141987</v>
      </c>
      <c r="V119" s="50">
        <f>_xlfn.COMPOUNDVALUE(466)</f>
        <v>143010</v>
      </c>
      <c r="W119" s="47">
        <f>_xlfn.COMPOUNDVALUE(504)</f>
        <v>144800</v>
      </c>
      <c r="X119" s="50">
        <f>_xlfn.COMPOUNDVALUE(530)</f>
        <v>148411</v>
      </c>
    </row>
    <row r="120" spans="1:24" ht="14.25">
      <c r="A120" s="9" t="e">
        <f t="shared" si="2"/>
        <v>#REF!</v>
      </c>
      <c r="D120" s="210" t="s">
        <v>45</v>
      </c>
      <c r="E120" s="25"/>
      <c r="F120" s="25"/>
      <c r="G120" s="51">
        <f>_xlfn.COMPOUNDVALUE(593)</f>
        <v>90511</v>
      </c>
      <c r="H120" s="52">
        <f>_xlfn.COMPOUNDVALUE(936)</f>
        <v>91924</v>
      </c>
      <c r="I120" s="53">
        <f>_xlfn.COMPOUNDVALUE(1031)</f>
        <v>94116</v>
      </c>
      <c r="J120" s="54">
        <f>_xlfn.COMPOUNDVALUE(1026)</f>
        <v>93671</v>
      </c>
      <c r="K120" s="51">
        <f>_xlfn.COMPOUNDVALUE(601)</f>
        <v>91536</v>
      </c>
      <c r="L120" s="52">
        <f>_xlfn.COMPOUNDVALUE(698)</f>
        <v>92177</v>
      </c>
      <c r="M120" s="53">
        <f>_xlfn.COMPOUNDVALUE(667)</f>
        <v>92185</v>
      </c>
      <c r="N120" s="54">
        <f>_xlfn.COMPOUNDVALUE(564)</f>
        <v>95956</v>
      </c>
      <c r="O120" s="51">
        <f>_xlfn.COMPOUNDVALUE(612)</f>
        <v>50620</v>
      </c>
      <c r="P120" s="52">
        <f>_xlfn.COMPOUNDVALUE(712)</f>
        <v>47613</v>
      </c>
      <c r="Q120" s="53">
        <f>_xlfn.COMPOUNDVALUE(621)</f>
        <v>18451</v>
      </c>
      <c r="R120" s="54">
        <f>_xlfn.COMPOUNDVALUE(558)</f>
        <v>15406</v>
      </c>
      <c r="S120" s="51">
        <f>_xlfn.COMPOUNDVALUE(706)</f>
        <v>13216</v>
      </c>
      <c r="T120" s="52">
        <f>_xlfn.COMPOUNDVALUE(719)</f>
        <v>12658</v>
      </c>
      <c r="U120" s="53">
        <f>_xlfn.COMPOUNDVALUE(628)</f>
        <v>12031</v>
      </c>
      <c r="V120" s="54">
        <f>_xlfn.COMPOUNDVALUE(549)</f>
        <v>11229</v>
      </c>
      <c r="W120" s="51">
        <f>_xlfn.COMPOUNDVALUE(635)</f>
        <v>10572</v>
      </c>
      <c r="X120" s="54">
        <f>_xlfn.COMPOUNDVALUE(607)</f>
        <v>10452</v>
      </c>
    </row>
    <row r="121" spans="1:24" ht="14.25">
      <c r="A121" s="9" t="e">
        <f t="shared" si="2"/>
        <v>#REF!</v>
      </c>
      <c r="D121" s="210" t="s">
        <v>46</v>
      </c>
      <c r="E121" s="25"/>
      <c r="F121" s="25"/>
      <c r="G121" s="51">
        <f>_xlfn.COMPOUNDVALUE(594)</f>
        <v>12137</v>
      </c>
      <c r="H121" s="52">
        <f>_xlfn.COMPOUNDVALUE(932)</f>
        <v>12834</v>
      </c>
      <c r="I121" s="53">
        <f>_xlfn.COMPOUNDVALUE(1027)</f>
        <v>13027</v>
      </c>
      <c r="J121" s="54">
        <f>_xlfn.COMPOUNDVALUE(1022)</f>
        <v>13731</v>
      </c>
      <c r="K121" s="51">
        <f>_xlfn.COMPOUNDVALUE(596)</f>
        <v>14654</v>
      </c>
      <c r="L121" s="52">
        <f>_xlfn.COMPOUNDVALUE(694)</f>
        <v>15142</v>
      </c>
      <c r="M121" s="53">
        <f>_xlfn.COMPOUNDVALUE(663)</f>
        <v>13557</v>
      </c>
      <c r="N121" s="54">
        <f>_xlfn.COMPOUNDVALUE(565)</f>
        <v>883</v>
      </c>
      <c r="O121" s="51">
        <f>_xlfn.COMPOUNDVALUE(615)</f>
        <v>17436</v>
      </c>
      <c r="P121" s="52">
        <f>_xlfn.COMPOUNDVALUE(708)</f>
        <v>16926</v>
      </c>
      <c r="Q121" s="53">
        <f>_xlfn.COMPOUNDVALUE(617)</f>
        <v>14861</v>
      </c>
      <c r="R121" s="54">
        <f>_xlfn.COMPOUNDVALUE(553)</f>
        <v>14880</v>
      </c>
      <c r="S121" s="51">
        <f>_xlfn.COMPOUNDVALUE(702)</f>
        <v>13828</v>
      </c>
      <c r="T121" s="52">
        <f>_xlfn.COMPOUNDVALUE(715)</f>
        <v>12807</v>
      </c>
      <c r="U121" s="53">
        <f>_xlfn.COMPOUNDVALUE(624)</f>
        <v>12353</v>
      </c>
      <c r="V121" s="54">
        <f>_xlfn.COMPOUNDVALUE(551)</f>
        <v>7721</v>
      </c>
      <c r="W121" s="51">
        <f>_xlfn.COMPOUNDVALUE(636)</f>
        <v>2298</v>
      </c>
      <c r="X121" s="54">
        <f>_xlfn.COMPOUNDVALUE(603)</f>
        <v>1891</v>
      </c>
    </row>
    <row r="122" spans="1:24" ht="14.25">
      <c r="A122" s="9" t="e">
        <f t="shared" si="2"/>
        <v>#REF!</v>
      </c>
      <c r="D122" s="210" t="s">
        <v>47</v>
      </c>
      <c r="E122" s="25"/>
      <c r="F122" s="25"/>
      <c r="G122" s="51">
        <f>_xlfn.COMPOUNDVALUE(595)</f>
        <v>8838</v>
      </c>
      <c r="H122" s="52">
        <f>_xlfn.COMPOUNDVALUE(937)</f>
        <v>10183</v>
      </c>
      <c r="I122" s="53">
        <f>_xlfn.COMPOUNDVALUE(1032)</f>
        <v>10672</v>
      </c>
      <c r="J122" s="54">
        <f>_xlfn.COMPOUNDVALUE(1021)</f>
        <v>11342</v>
      </c>
      <c r="K122" s="51">
        <f>_xlfn.COMPOUNDVALUE(597)</f>
        <v>12144</v>
      </c>
      <c r="L122" s="52">
        <f>_xlfn.COMPOUNDVALUE(699)</f>
        <v>13143</v>
      </c>
      <c r="M122" s="53">
        <f>_xlfn.COMPOUNDVALUE(668)</f>
        <v>14805</v>
      </c>
      <c r="N122" s="54">
        <f>_xlfn.COMPOUNDVALUE(566)</f>
        <v>19693</v>
      </c>
      <c r="O122" s="51">
        <f>_xlfn.COMPOUNDVALUE(616)</f>
        <v>50188</v>
      </c>
      <c r="P122" s="52">
        <f>_xlfn.COMPOUNDVALUE(713)</f>
        <v>50844</v>
      </c>
      <c r="Q122" s="53">
        <f>_xlfn.COMPOUNDVALUE(622)</f>
        <v>81226</v>
      </c>
      <c r="R122" s="54">
        <f>_xlfn.COMPOUNDVALUE(554)</f>
        <v>83600</v>
      </c>
      <c r="S122" s="51">
        <f>_xlfn.COMPOUNDVALUE(701)</f>
        <v>87043</v>
      </c>
      <c r="T122" s="52">
        <f>_xlfn.COMPOUNDVALUE(720)</f>
        <v>89985</v>
      </c>
      <c r="U122" s="53">
        <f>_xlfn.COMPOUNDVALUE(629)</f>
        <v>89296</v>
      </c>
      <c r="V122" s="54">
        <f>_xlfn.COMPOUNDVALUE(552)</f>
        <v>77844</v>
      </c>
      <c r="W122" s="51">
        <f>_xlfn.COMPOUNDVALUE(637)</f>
        <v>58389</v>
      </c>
      <c r="X122" s="54">
        <f>_xlfn.COMPOUNDVALUE(608)</f>
        <v>58984</v>
      </c>
    </row>
    <row r="123" spans="1:24" ht="14.25">
      <c r="A123" s="9" t="e">
        <f t="shared" si="2"/>
        <v>#REF!</v>
      </c>
      <c r="D123" s="210" t="s">
        <v>48</v>
      </c>
      <c r="E123" s="25"/>
      <c r="F123" s="25"/>
      <c r="G123" s="51">
        <f>_xlfn.COMPOUNDVALUE(592)</f>
        <v>1200</v>
      </c>
      <c r="H123" s="52">
        <f>_xlfn.COMPOUNDVALUE(935)</f>
        <v>1483</v>
      </c>
      <c r="I123" s="53">
        <f>_xlfn.COMPOUNDVALUE(1030)</f>
        <v>1695</v>
      </c>
      <c r="J123" s="54">
        <f>_xlfn.COMPOUNDVALUE(1025)</f>
        <v>2614</v>
      </c>
      <c r="K123" s="51">
        <f>_xlfn.COMPOUNDVALUE(600)</f>
        <v>4203</v>
      </c>
      <c r="L123" s="52">
        <f>_xlfn.COMPOUNDVALUE(697)</f>
        <v>4288</v>
      </c>
      <c r="M123" s="53">
        <f>_xlfn.COMPOUNDVALUE(666)</f>
        <v>5786</v>
      </c>
      <c r="N123" s="54">
        <f>_xlfn.COMPOUNDVALUE(560)</f>
        <v>10548</v>
      </c>
      <c r="O123" s="51">
        <f>_xlfn.COMPOUNDVALUE(611)</f>
        <v>9953</v>
      </c>
      <c r="P123" s="52">
        <f>_xlfn.COMPOUNDVALUE(711)</f>
        <v>15437</v>
      </c>
      <c r="Q123" s="53">
        <f>_xlfn.COMPOUNDVALUE(620)</f>
        <v>17777</v>
      </c>
      <c r="R123" s="54">
        <f>_xlfn.COMPOUNDVALUE(557)</f>
        <v>9029</v>
      </c>
      <c r="S123" s="51">
        <f>_xlfn.COMPOUNDVALUE(705)</f>
        <v>8735</v>
      </c>
      <c r="T123" s="52">
        <f>_xlfn.COMPOUNDVALUE(718)</f>
        <v>8606</v>
      </c>
      <c r="U123" s="53">
        <f>_xlfn.COMPOUNDVALUE(627)</f>
        <v>8394</v>
      </c>
      <c r="V123" s="54">
        <f>_xlfn.COMPOUNDVALUE(550)</f>
        <v>7622</v>
      </c>
      <c r="W123" s="51">
        <f>_xlfn.COMPOUNDVALUE(634)</f>
        <v>6916</v>
      </c>
      <c r="X123" s="54">
        <f>_xlfn.COMPOUNDVALUE(606)</f>
        <v>6237</v>
      </c>
    </row>
    <row r="124" spans="1:24" ht="14.25">
      <c r="A124" s="9" t="e">
        <f aca="true" t="shared" si="3" ref="A124:A187">A123+1</f>
        <v>#REF!</v>
      </c>
      <c r="D124" s="210" t="s">
        <v>49</v>
      </c>
      <c r="E124" s="25"/>
      <c r="F124" s="25"/>
      <c r="G124" s="51">
        <f>_xlfn.COMPOUNDVALUE(590)</f>
        <v>5</v>
      </c>
      <c r="H124" s="52">
        <f>_xlfn.COMPOUNDVALUE(934)</f>
        <v>5</v>
      </c>
      <c r="I124" s="53">
        <f>_xlfn.COMPOUNDVALUE(1029)</f>
        <v>5</v>
      </c>
      <c r="J124" s="54">
        <f>_xlfn.COMPOUNDVALUE(1024)</f>
        <v>34</v>
      </c>
      <c r="K124" s="51">
        <f>_xlfn.COMPOUNDVALUE(599)</f>
        <v>191</v>
      </c>
      <c r="L124" s="52">
        <f>_xlfn.COMPOUNDVALUE(696)</f>
        <v>3</v>
      </c>
      <c r="M124" s="53">
        <f>_xlfn.COMPOUNDVALUE(665)</f>
        <v>2</v>
      </c>
      <c r="N124" s="54">
        <f>_xlfn.COMPOUNDVALUE(561)</f>
        <v>2</v>
      </c>
      <c r="O124" s="51">
        <f>_xlfn.COMPOUNDVALUE(613)</f>
        <v>2</v>
      </c>
      <c r="P124" s="52">
        <f>_xlfn.COMPOUNDVALUE(710)</f>
        <v>8</v>
      </c>
      <c r="Q124" s="53">
        <f>_xlfn.COMPOUNDVALUE(619)</f>
        <v>29</v>
      </c>
      <c r="R124" s="54">
        <f>_xlfn.COMPOUNDVALUE(556)</f>
        <v>10053</v>
      </c>
      <c r="S124" s="51">
        <f>_xlfn.COMPOUNDVALUE(704)</f>
        <v>11568</v>
      </c>
      <c r="T124" s="52">
        <f>_xlfn.COMPOUNDVALUE(717)</f>
        <v>13267</v>
      </c>
      <c r="U124" s="53">
        <f>_xlfn.COMPOUNDVALUE(626)</f>
        <v>16262</v>
      </c>
      <c r="V124" s="54">
        <f>_xlfn.COMPOUNDVALUE(546)</f>
        <v>34718</v>
      </c>
      <c r="W124" s="51">
        <f>_xlfn.COMPOUNDVALUE(631)</f>
        <v>61781</v>
      </c>
      <c r="X124" s="54">
        <f>_xlfn.COMPOUNDVALUE(605)</f>
        <v>64985</v>
      </c>
    </row>
    <row r="125" spans="1:24" ht="14.25">
      <c r="A125" s="9" t="e">
        <f t="shared" si="3"/>
        <v>#REF!</v>
      </c>
      <c r="D125" s="210" t="s">
        <v>50</v>
      </c>
      <c r="E125" s="25"/>
      <c r="F125" s="25"/>
      <c r="G125" s="51">
        <f>_xlfn.COMPOUNDVALUE(591)</f>
        <v>684</v>
      </c>
      <c r="H125" s="52">
        <f>_xlfn.COMPOUNDVALUE(933)</f>
        <v>660</v>
      </c>
      <c r="I125" s="53">
        <f>_xlfn.COMPOUNDVALUE(1028)</f>
        <v>677</v>
      </c>
      <c r="J125" s="54">
        <f>_xlfn.COMPOUNDVALUE(1023)</f>
        <v>262</v>
      </c>
      <c r="K125" s="51">
        <f>_xlfn.COMPOUNDVALUE(598)</f>
        <v>271</v>
      </c>
      <c r="L125" s="52">
        <f>_xlfn.COMPOUNDVALUE(695)</f>
        <v>314</v>
      </c>
      <c r="M125" s="53">
        <f>_xlfn.COMPOUNDVALUE(664)</f>
        <v>698</v>
      </c>
      <c r="N125" s="54">
        <f>_xlfn.COMPOUNDVALUE(563)</f>
        <v>964</v>
      </c>
      <c r="O125" s="51">
        <f>_xlfn.COMPOUNDVALUE(610)</f>
        <v>1054</v>
      </c>
      <c r="P125" s="52">
        <f>_xlfn.COMPOUNDVALUE(709)</f>
        <v>1247</v>
      </c>
      <c r="Q125" s="53">
        <f>_xlfn.COMPOUNDVALUE(618)</f>
        <v>1375</v>
      </c>
      <c r="R125" s="54">
        <f>_xlfn.COMPOUNDVALUE(555)</f>
        <v>1921</v>
      </c>
      <c r="S125" s="51">
        <f>_xlfn.COMPOUNDVALUE(703)</f>
        <v>2163</v>
      </c>
      <c r="T125" s="52">
        <f>_xlfn.COMPOUNDVALUE(716)</f>
        <v>2431</v>
      </c>
      <c r="U125" s="53">
        <f>_xlfn.COMPOUNDVALUE(625)</f>
        <v>2676</v>
      </c>
      <c r="V125" s="54">
        <f>_xlfn.COMPOUNDVALUE(548)</f>
        <v>2877</v>
      </c>
      <c r="W125" s="51">
        <f>_xlfn.COMPOUNDVALUE(633)</f>
        <v>3594</v>
      </c>
      <c r="X125" s="54">
        <f>_xlfn.COMPOUNDVALUE(604)</f>
        <v>4609</v>
      </c>
    </row>
    <row r="126" spans="1:24" ht="14.25">
      <c r="A126" s="9" t="e">
        <f t="shared" si="3"/>
        <v>#REF!</v>
      </c>
      <c r="D126" s="210" t="s">
        <v>51</v>
      </c>
      <c r="E126" s="25"/>
      <c r="F126" s="25"/>
      <c r="G126" s="51">
        <v>0</v>
      </c>
      <c r="H126" s="52">
        <v>0</v>
      </c>
      <c r="I126" s="53">
        <v>0</v>
      </c>
      <c r="J126" s="54">
        <v>0</v>
      </c>
      <c r="K126" s="51">
        <f>_xlfn.COMPOUNDVALUE(602)</f>
        <v>0</v>
      </c>
      <c r="L126" s="52">
        <f>_xlfn.COMPOUNDVALUE(700)</f>
        <v>323</v>
      </c>
      <c r="M126" s="53">
        <f>_xlfn.COMPOUNDVALUE(669)</f>
        <v>465</v>
      </c>
      <c r="N126" s="54">
        <f>_xlfn.COMPOUNDVALUE(562)</f>
        <v>632</v>
      </c>
      <c r="O126" s="51">
        <f>_xlfn.COMPOUNDVALUE(614)</f>
        <v>727</v>
      </c>
      <c r="P126" s="52">
        <f>_xlfn.COMPOUNDVALUE(714)</f>
        <v>846</v>
      </c>
      <c r="Q126" s="53">
        <f>_xlfn.COMPOUNDVALUE(623)</f>
        <v>869</v>
      </c>
      <c r="R126" s="54">
        <f>_xlfn.COMPOUNDVALUE(559)</f>
        <v>869</v>
      </c>
      <c r="S126" s="51">
        <f>_xlfn.COMPOUNDVALUE(707)</f>
        <v>896</v>
      </c>
      <c r="T126" s="52">
        <f>_xlfn.COMPOUNDVALUE(721)</f>
        <v>957</v>
      </c>
      <c r="U126" s="53">
        <f>_xlfn.COMPOUNDVALUE(630)</f>
        <v>975</v>
      </c>
      <c r="V126" s="54">
        <f>_xlfn.COMPOUNDVALUE(547)</f>
        <v>999</v>
      </c>
      <c r="W126" s="51">
        <f>_xlfn.COMPOUNDVALUE(632)</f>
        <v>1250</v>
      </c>
      <c r="X126" s="54">
        <f>_xlfn.COMPOUNDVALUE(609)</f>
        <v>1253</v>
      </c>
    </row>
    <row r="127" spans="1:24" ht="6.75" customHeight="1">
      <c r="A127" s="9" t="e">
        <f t="shared" si="3"/>
        <v>#REF!</v>
      </c>
      <c r="D127" s="18"/>
      <c r="E127" s="25"/>
      <c r="F127" s="25"/>
      <c r="G127" s="24"/>
      <c r="H127" s="25"/>
      <c r="I127" s="25"/>
      <c r="J127" s="26"/>
      <c r="K127" s="24"/>
      <c r="L127" s="25"/>
      <c r="M127" s="25"/>
      <c r="N127" s="26"/>
      <c r="O127" s="24"/>
      <c r="P127" s="25"/>
      <c r="Q127" s="25"/>
      <c r="R127" s="26"/>
      <c r="S127" s="24"/>
      <c r="T127" s="25"/>
      <c r="U127" s="25"/>
      <c r="V127" s="26"/>
      <c r="W127" s="24"/>
      <c r="X127" s="26"/>
    </row>
    <row r="128" spans="1:24" ht="14.25">
      <c r="A128" s="9" t="e">
        <f t="shared" si="3"/>
        <v>#REF!</v>
      </c>
      <c r="D128" s="213" t="s">
        <v>199</v>
      </c>
      <c r="E128" s="25"/>
      <c r="F128" s="25"/>
      <c r="G128" s="47"/>
      <c r="H128" s="48"/>
      <c r="I128" s="49"/>
      <c r="J128" s="50"/>
      <c r="K128" s="47"/>
      <c r="L128" s="48"/>
      <c r="M128" s="49"/>
      <c r="N128" s="50"/>
      <c r="O128" s="47"/>
      <c r="P128" s="48"/>
      <c r="Q128" s="49"/>
      <c r="R128" s="50"/>
      <c r="S128" s="47"/>
      <c r="T128" s="48"/>
      <c r="U128" s="49"/>
      <c r="V128" s="50"/>
      <c r="W128" s="47"/>
      <c r="X128" s="50"/>
    </row>
    <row r="129" spans="1:24" ht="14.25">
      <c r="A129" s="9" t="e">
        <f t="shared" si="3"/>
        <v>#REF!</v>
      </c>
      <c r="D129" s="215" t="s">
        <v>52</v>
      </c>
      <c r="E129" s="25"/>
      <c r="F129" s="25"/>
      <c r="G129" s="64">
        <f>_xlfn.COMPOUNDVALUE(593)</f>
        <v>0.7983329658213892</v>
      </c>
      <c r="H129" s="65">
        <f>_xlfn.COMPOUNDVALUE(936)</f>
        <v>0.7850780175763735</v>
      </c>
      <c r="I129" s="66">
        <f>_xlfn.COMPOUNDVALUE(1031)</f>
        <v>0.783047124600639</v>
      </c>
      <c r="J129" s="67">
        <f>_xlfn.COMPOUNDVALUE(1026)</f>
        <v>0.7699787923126243</v>
      </c>
      <c r="K129" s="64">
        <f>_xlfn.COMPOUNDVALUE(601)</f>
        <v>0.744201172367255</v>
      </c>
      <c r="L129" s="65">
        <f>_xlfn.COMPOUNDVALUE(698)</f>
        <v>0.7351224180556664</v>
      </c>
      <c r="M129" s="66">
        <f>_xlfn.COMPOUNDVALUE(667)</f>
        <v>0.7230309495050903</v>
      </c>
      <c r="N129" s="67">
        <f>_xlfn.COMPOUNDVALUE(564)</f>
        <v>0.7457063367475404</v>
      </c>
      <c r="O129" s="64">
        <f>_xlfn.COMPOUNDVALUE(612)</f>
        <v>0.3894445299276812</v>
      </c>
      <c r="P129" s="65">
        <f>_xlfn.COMPOUNDVALUE(712)</f>
        <v>0.3582052497348049</v>
      </c>
      <c r="Q129" s="66">
        <f>_xlfn.COMPOUNDVALUE(621)</f>
        <v>0.13709245995185307</v>
      </c>
      <c r="R129" s="67">
        <f>_xlfn.COMPOUNDVALUE(558)</f>
        <v>0.1134813417993783</v>
      </c>
      <c r="S129" s="64">
        <f>_xlfn.COMPOUNDVALUE(706)</f>
        <v>0.09615202729739758</v>
      </c>
      <c r="T129" s="65">
        <f>_xlfn.COMPOUNDVALUE(719)</f>
        <v>0.08995743047807207</v>
      </c>
      <c r="U129" s="66">
        <f>_xlfn.COMPOUNDVALUE(628)</f>
        <v>0.0847331093691676</v>
      </c>
      <c r="V129" s="67">
        <f>_xlfn.COMPOUNDVALUE(549)</f>
        <v>0.07851898468638557</v>
      </c>
      <c r="W129" s="64">
        <f>_xlfn.COMPOUNDVALUE(635)</f>
        <v>0.07301104972375691</v>
      </c>
      <c r="X129" s="67">
        <f>_xlfn.COMPOUNDVALUE(607)</f>
        <v>0.07042604658684329</v>
      </c>
    </row>
    <row r="130" spans="1:24" ht="14.25">
      <c r="A130" s="9" t="e">
        <f t="shared" si="3"/>
        <v>#REF!</v>
      </c>
      <c r="D130" s="215" t="s">
        <v>53</v>
      </c>
      <c r="E130" s="25"/>
      <c r="F130" s="25"/>
      <c r="G130" s="64">
        <f>_xlfn.COMPOUNDVALUE(594)</f>
        <v>0.10705181918412349</v>
      </c>
      <c r="H130" s="65">
        <f>_xlfn.COMPOUNDVALUE(932)</f>
        <v>0.10960892995926176</v>
      </c>
      <c r="I130" s="66">
        <f>_xlfn.COMPOUNDVALUE(1027)</f>
        <v>0.10838491746538871</v>
      </c>
      <c r="J130" s="67">
        <f>_xlfn.COMPOUNDVALUE(1022)</f>
        <v>0.11286928502145428</v>
      </c>
      <c r="K130" s="64">
        <f>_xlfn.COMPOUNDVALUE(596)</f>
        <v>0.11913917999333327</v>
      </c>
      <c r="L130" s="65">
        <f>_xlfn.COMPOUNDVALUE(694)</f>
        <v>0.12075923119866018</v>
      </c>
      <c r="M130" s="66">
        <f>_xlfn.COMPOUNDVALUE(663)</f>
        <v>0.10633107970321103</v>
      </c>
      <c r="N130" s="67">
        <f>_xlfn.COMPOUNDVALUE(565)</f>
        <v>0.006862089867731858</v>
      </c>
      <c r="O130" s="64">
        <f>_xlfn.COMPOUNDVALUE(615)</f>
        <v>0.1341437144176027</v>
      </c>
      <c r="P130" s="65">
        <f>_xlfn.COMPOUNDVALUE(708)</f>
        <v>0.12733879522423094</v>
      </c>
      <c r="Q130" s="66">
        <f>_xlfn.COMPOUNDVALUE(617)</f>
        <v>0.11041846227003893</v>
      </c>
      <c r="R130" s="67">
        <f>_xlfn.COMPOUNDVALUE(553)</f>
        <v>0.1096068003358918</v>
      </c>
      <c r="S130" s="64">
        <f>_xlfn.COMPOUNDVALUE(702)</f>
        <v>0.10060458788350589</v>
      </c>
      <c r="T130" s="65">
        <f>_xlfn.COMPOUNDVALUE(715)</f>
        <v>0.09101633845257301</v>
      </c>
      <c r="U130" s="66">
        <f>_xlfn.COMPOUNDVALUE(624)</f>
        <v>0.08700092261967644</v>
      </c>
      <c r="V130" s="67">
        <f>_xlfn.COMPOUNDVALUE(551)</f>
        <v>0.05398923152227117</v>
      </c>
      <c r="W130" s="64">
        <f>_xlfn.COMPOUNDVALUE(636)</f>
        <v>0.015870165745856354</v>
      </c>
      <c r="X130" s="67">
        <f>_xlfn.COMPOUNDVALUE(603)</f>
        <v>0.01274164313965946</v>
      </c>
    </row>
    <row r="131" spans="1:24" ht="14.25">
      <c r="A131" s="9" t="e">
        <f t="shared" si="3"/>
        <v>#REF!</v>
      </c>
      <c r="D131" s="215" t="s">
        <v>54</v>
      </c>
      <c r="E131" s="25"/>
      <c r="F131" s="25"/>
      <c r="G131" s="64">
        <f>_xlfn.COMPOUNDVALUE(595)</f>
        <v>0.07795369349503858</v>
      </c>
      <c r="H131" s="65">
        <f>_xlfn.COMPOUNDVALUE(937)</f>
        <v>0.08696803286388986</v>
      </c>
      <c r="I131" s="66">
        <f>_xlfn.COMPOUNDVALUE(1032)</f>
        <v>0.08879126730564431</v>
      </c>
      <c r="J131" s="67">
        <f>_xlfn.COMPOUNDVALUE(1021)</f>
        <v>0.09323162411429135</v>
      </c>
      <c r="K131" s="64">
        <f>_xlfn.COMPOUNDVALUE(597)</f>
        <v>0.09873251002040667</v>
      </c>
      <c r="L131" s="65">
        <f>_xlfn.COMPOUNDVALUE(699)</f>
        <v>0.10481697105032299</v>
      </c>
      <c r="M131" s="66">
        <f>_xlfn.COMPOUNDVALUE(668)</f>
        <v>0.11611946854068299</v>
      </c>
      <c r="N131" s="67">
        <f>_xlfn.COMPOUNDVALUE(566)</f>
        <v>0.15304092385644788</v>
      </c>
      <c r="O131" s="64">
        <f>_xlfn.COMPOUNDVALUE(616)</f>
        <v>0.3861209416833359</v>
      </c>
      <c r="P131" s="65">
        <f>_xlfn.COMPOUNDVALUE(713)</f>
        <v>0.38251292120883834</v>
      </c>
      <c r="Q131" s="66">
        <f>_xlfn.COMPOUNDVALUE(622)</f>
        <v>0.603515915237614</v>
      </c>
      <c r="R131" s="67">
        <f>_xlfn.COMPOUNDVALUE(554)</f>
        <v>0.6158016470484244</v>
      </c>
      <c r="S131" s="64">
        <f>_xlfn.COMPOUNDVALUE(701)</f>
        <v>0.6332748874127858</v>
      </c>
      <c r="T131" s="65">
        <f>_xlfn.COMPOUNDVALUE(720)</f>
        <v>0.6395022421843353</v>
      </c>
      <c r="U131" s="66">
        <f>_xlfn.COMPOUNDVALUE(629)</f>
        <v>0.6289026460168888</v>
      </c>
      <c r="V131" s="67">
        <f>_xlfn.COMPOUNDVALUE(552)</f>
        <v>0.5443255716383469</v>
      </c>
      <c r="W131" s="64">
        <f>_xlfn.COMPOUNDVALUE(637)</f>
        <v>0.40323895027624307</v>
      </c>
      <c r="X131" s="67">
        <f>_xlfn.COMPOUNDVALUE(608)</f>
        <v>0.3974368476730161</v>
      </c>
    </row>
    <row r="132" spans="1:24" ht="14.25">
      <c r="A132" s="9" t="e">
        <f t="shared" si="3"/>
        <v>#REF!</v>
      </c>
      <c r="D132" s="215" t="s">
        <v>55</v>
      </c>
      <c r="E132" s="25"/>
      <c r="F132" s="25"/>
      <c r="G132" s="64">
        <f>_xlfn.COMPOUNDVALUE(592)</f>
        <v>0.010584343991179712</v>
      </c>
      <c r="H132" s="65">
        <f>_xlfn.COMPOUNDVALUE(935)</f>
        <v>0.012665579174815738</v>
      </c>
      <c r="I132" s="66">
        <f>_xlfn.COMPOUNDVALUE(1030)</f>
        <v>0.014102436102236422</v>
      </c>
      <c r="J132" s="67">
        <f>_xlfn.COMPOUNDVALUE(1025)</f>
        <v>0.02148716852713433</v>
      </c>
      <c r="K132" s="64">
        <f>_xlfn.COMPOUNDVALUE(600)</f>
        <v>0.034171009520402605</v>
      </c>
      <c r="L132" s="65">
        <f>_xlfn.COMPOUNDVALUE(697)</f>
        <v>0.03419730441024005</v>
      </c>
      <c r="M132" s="66">
        <f>_xlfn.COMPOUNDVALUE(666)</f>
        <v>0.045381104017317916</v>
      </c>
      <c r="N132" s="67">
        <f>_xlfn.COMPOUNDVALUE(560)</f>
        <v>0.08197205427501204</v>
      </c>
      <c r="O132" s="64">
        <f>_xlfn.COMPOUNDVALUE(611)</f>
        <v>0.07657331897214956</v>
      </c>
      <c r="P132" s="65">
        <f>_xlfn.COMPOUNDVALUE(711)</f>
        <v>0.1161366525981598</v>
      </c>
      <c r="Q132" s="66">
        <f>_xlfn.COMPOUNDVALUE(620)</f>
        <v>0.13208458406395815</v>
      </c>
      <c r="R132" s="67">
        <f>_xlfn.COMPOUNDVALUE(557)</f>
        <v>0.06650805109091176</v>
      </c>
      <c r="S132" s="64">
        <f>_xlfn.COMPOUNDVALUE(705)</f>
        <v>0.06355084431316342</v>
      </c>
      <c r="T132" s="65">
        <f>_xlfn.COMPOUNDVALUE(718)</f>
        <v>0.06116081898359048</v>
      </c>
      <c r="U132" s="66">
        <f>_xlfn.COMPOUNDVALUE(627)</f>
        <v>0.05911808827568721</v>
      </c>
      <c r="V132" s="67">
        <f>_xlfn.COMPOUNDVALUE(550)</f>
        <v>0.05329697223970352</v>
      </c>
      <c r="W132" s="64">
        <f>_xlfn.COMPOUNDVALUE(634)</f>
        <v>0.04776243093922652</v>
      </c>
      <c r="X132" s="67">
        <f>_xlfn.COMPOUNDVALUE(606)</f>
        <v>0.042025186812298276</v>
      </c>
    </row>
    <row r="133" spans="1:24" ht="14.25">
      <c r="A133" s="9" t="e">
        <f t="shared" si="3"/>
        <v>#REF!</v>
      </c>
      <c r="D133" s="215" t="s">
        <v>56</v>
      </c>
      <c r="E133" s="25"/>
      <c r="F133" s="25"/>
      <c r="G133" s="64">
        <f>_xlfn.COMPOUNDVALUE(590)</f>
        <v>4.410143329658214E-05</v>
      </c>
      <c r="H133" s="65">
        <f>_xlfn.COMPOUNDVALUE(934)</f>
        <v>4.270255959142191E-05</v>
      </c>
      <c r="I133" s="66">
        <f>_xlfn.COMPOUNDVALUE(1029)</f>
        <v>4.160010649627263E-05</v>
      </c>
      <c r="J133" s="67">
        <f>_xlfn.COMPOUNDVALUE(1024)</f>
        <v>0.000279481151462344</v>
      </c>
      <c r="K133" s="64">
        <f>_xlfn.COMPOUNDVALUE(599)</f>
        <v>0.0015528581533183197</v>
      </c>
      <c r="L133" s="65">
        <f>_xlfn.COMPOUNDVALUE(696)</f>
        <v>2.392535289895526E-05</v>
      </c>
      <c r="M133" s="66">
        <f>_xlfn.COMPOUNDVALUE(665)</f>
        <v>1.568652057287173E-05</v>
      </c>
      <c r="N133" s="67">
        <f>_xlfn.COMPOUNDVALUE(561)</f>
        <v>1.5542672407093677E-05</v>
      </c>
      <c r="O133" s="64">
        <f>_xlfn.COMPOUNDVALUE(613)</f>
        <v>1.538698261270965E-05</v>
      </c>
      <c r="P133" s="65">
        <f>_xlfn.COMPOUNDVALUE(710)</f>
        <v>6.018612559339758E-05</v>
      </c>
      <c r="Q133" s="66">
        <f>_xlfn.COMPOUNDVALUE(619)</f>
        <v>0.00021547240467203614</v>
      </c>
      <c r="R133" s="67">
        <f>_xlfn.COMPOUNDVALUE(556)</f>
        <v>0.074050884662414</v>
      </c>
      <c r="S133" s="64">
        <f>_xlfn.COMPOUNDVALUE(704)</f>
        <v>0.08416212558840006</v>
      </c>
      <c r="T133" s="65">
        <f>_xlfn.COMPOUNDVALUE(717)</f>
        <v>0.09428545032015977</v>
      </c>
      <c r="U133" s="66">
        <f>_xlfn.COMPOUNDVALUE(626)</f>
        <v>0.1145316120489904</v>
      </c>
      <c r="V133" s="67">
        <f>_xlfn.COMPOUNDVALUE(546)</f>
        <v>0.24276624012306833</v>
      </c>
      <c r="W133" s="64">
        <f>_xlfn.COMPOUNDVALUE(631)</f>
        <v>0.426664364640884</v>
      </c>
      <c r="X133" s="67">
        <f>_xlfn.COMPOUNDVALUE(605)</f>
        <v>0.43787185585974087</v>
      </c>
    </row>
    <row r="134" spans="1:24" ht="14.25">
      <c r="A134" s="9" t="e">
        <f t="shared" si="3"/>
        <v>#REF!</v>
      </c>
      <c r="D134" s="215" t="s">
        <v>57</v>
      </c>
      <c r="E134" s="25"/>
      <c r="F134" s="25"/>
      <c r="G134" s="64">
        <f>_xlfn.COMPOUNDVALUE(591)</f>
        <v>0.006033076074972436</v>
      </c>
      <c r="H134" s="65">
        <f>_xlfn.COMPOUNDVALUE(933)</f>
        <v>0.005636737866067692</v>
      </c>
      <c r="I134" s="66">
        <f>_xlfn.COMPOUNDVALUE(1028)</f>
        <v>0.005632654419595314</v>
      </c>
      <c r="J134" s="67">
        <f>_xlfn.COMPOUNDVALUE(1023)</f>
        <v>0.0021536488730333567</v>
      </c>
      <c r="K134" s="64">
        <f>_xlfn.COMPOUNDVALUE(598)</f>
        <v>0.002203269945284108</v>
      </c>
      <c r="L134" s="65">
        <f>_xlfn.COMPOUNDVALUE(695)</f>
        <v>0.0025041869367573174</v>
      </c>
      <c r="M134" s="66">
        <f>_xlfn.COMPOUNDVALUE(664)</f>
        <v>0.005474595679932234</v>
      </c>
      <c r="N134" s="67">
        <f>_xlfn.COMPOUNDVALUE(563)</f>
        <v>0.007491568100219152</v>
      </c>
      <c r="O134" s="64">
        <f>_xlfn.COMPOUNDVALUE(610)</f>
        <v>0.008108939836897984</v>
      </c>
      <c r="P134" s="65">
        <f>_xlfn.COMPOUNDVALUE(709)</f>
        <v>0.009381512326870848</v>
      </c>
      <c r="Q134" s="66">
        <f>_xlfn.COMPOUNDVALUE(618)</f>
        <v>0.010216364014622403</v>
      </c>
      <c r="R134" s="67">
        <f>_xlfn.COMPOUNDVALUE(555)</f>
        <v>0.014150178994976354</v>
      </c>
      <c r="S134" s="64">
        <f>_xlfn.COMPOUNDVALUE(703)</f>
        <v>0.015736745993059242</v>
      </c>
      <c r="T134" s="65">
        <f>_xlfn.COMPOUNDVALUE(716)</f>
        <v>0.017276545543703052</v>
      </c>
      <c r="U134" s="66">
        <f>_xlfn.COMPOUNDVALUE(625)</f>
        <v>0.01884679583342137</v>
      </c>
      <c r="V134" s="67">
        <f>_xlfn.COMPOUNDVALUE(548)</f>
        <v>0.02011747430249633</v>
      </c>
      <c r="W134" s="64">
        <f>_xlfn.COMPOUNDVALUE(633)</f>
        <v>0.024820441988950278</v>
      </c>
      <c r="X134" s="67">
        <f>_xlfn.COMPOUNDVALUE(604)</f>
        <v>0.03105564951385005</v>
      </c>
    </row>
    <row r="135" spans="1:24" ht="14.25">
      <c r="A135" s="9" t="e">
        <f t="shared" si="3"/>
        <v>#REF!</v>
      </c>
      <c r="D135" s="215" t="s">
        <v>58</v>
      </c>
      <c r="E135" s="25"/>
      <c r="F135" s="25"/>
      <c r="G135" s="64">
        <v>0</v>
      </c>
      <c r="H135" s="65">
        <v>0</v>
      </c>
      <c r="I135" s="66">
        <v>0</v>
      </c>
      <c r="J135" s="67">
        <v>0</v>
      </c>
      <c r="K135" s="64">
        <f>_xlfn.COMPOUNDVALUE(602)</f>
        <v>0</v>
      </c>
      <c r="L135" s="65">
        <f>_xlfn.COMPOUNDVALUE(700)</f>
        <v>0.002575962995454183</v>
      </c>
      <c r="M135" s="66">
        <f>_xlfn.COMPOUNDVALUE(669)</f>
        <v>0.0036471160331926775</v>
      </c>
      <c r="N135" s="67">
        <f>_xlfn.COMPOUNDVALUE(562)</f>
        <v>0.004911484480641602</v>
      </c>
      <c r="O135" s="64">
        <f>_xlfn.COMPOUNDVALUE(614)</f>
        <v>0.005593168179719957</v>
      </c>
      <c r="P135" s="65">
        <f>_xlfn.COMPOUNDVALUE(714)</f>
        <v>0.006364682781501795</v>
      </c>
      <c r="Q135" s="66">
        <f>_xlfn.COMPOUNDVALUE(623)</f>
        <v>0.006456742057241359</v>
      </c>
      <c r="R135" s="67">
        <f>_xlfn.COMPOUNDVALUE(559)</f>
        <v>0.006401096068003359</v>
      </c>
      <c r="S135" s="64">
        <f>_xlfn.COMPOUNDVALUE(707)</f>
        <v>0.006518781511687972</v>
      </c>
      <c r="T135" s="65">
        <f>_xlfn.COMPOUNDVALUE(721)</f>
        <v>0.006801174037566359</v>
      </c>
      <c r="U135" s="66">
        <f>_xlfn.COMPOUNDVALUE(630)</f>
        <v>0.0068668258361681</v>
      </c>
      <c r="V135" s="67">
        <f>_xlfn.COMPOUNDVALUE(547)</f>
        <v>0.006985525487728131</v>
      </c>
      <c r="W135" s="64">
        <f>_xlfn.COMPOUNDVALUE(632)</f>
        <v>0.008632596685082873</v>
      </c>
      <c r="X135" s="67">
        <f>_xlfn.COMPOUNDVALUE(609)</f>
        <v>0.00844277041459191</v>
      </c>
    </row>
    <row r="136" spans="1:24" ht="8.25" customHeight="1" thickBot="1">
      <c r="A136" s="9" t="e">
        <f t="shared" si="3"/>
        <v>#REF!</v>
      </c>
      <c r="D136" s="18"/>
      <c r="E136" s="25"/>
      <c r="F136" s="25"/>
      <c r="G136" s="24"/>
      <c r="H136" s="25"/>
      <c r="I136" s="25"/>
      <c r="J136" s="26"/>
      <c r="K136" s="24"/>
      <c r="L136" s="25"/>
      <c r="M136" s="25"/>
      <c r="N136" s="26"/>
      <c r="O136" s="24"/>
      <c r="P136" s="25"/>
      <c r="Q136" s="25"/>
      <c r="R136" s="26"/>
      <c r="S136" s="24"/>
      <c r="T136" s="25"/>
      <c r="U136" s="25"/>
      <c r="V136" s="26"/>
      <c r="W136" s="24"/>
      <c r="X136" s="26"/>
    </row>
    <row r="137" spans="1:24" ht="15" thickBot="1">
      <c r="A137" s="9" t="e">
        <f t="shared" si="3"/>
        <v>#REF!</v>
      </c>
      <c r="C137" s="60"/>
      <c r="D137" s="211" t="s">
        <v>85</v>
      </c>
      <c r="E137" s="25"/>
      <c r="F137" s="25"/>
      <c r="G137" s="76">
        <f>_xlfn.COMPOUNDVALUE(943)</f>
        <v>0.2739549033125865</v>
      </c>
      <c r="H137" s="77">
        <v>0.28265788833167454</v>
      </c>
      <c r="I137" s="78">
        <v>0.2899255322480781</v>
      </c>
      <c r="J137" s="79">
        <v>0.2930023747705914</v>
      </c>
      <c r="K137" s="76">
        <v>0.29607920544212446</v>
      </c>
      <c r="L137" s="77">
        <v>0.30166917676721505</v>
      </c>
      <c r="M137" s="78">
        <v>0.3065725374024363</v>
      </c>
      <c r="N137" s="79">
        <v>0.309240345101055</v>
      </c>
      <c r="O137" s="76">
        <v>0.3120858224006454</v>
      </c>
      <c r="P137" s="77">
        <v>0.31885862329531145</v>
      </c>
      <c r="Q137" s="78">
        <v>0.3225650280531968</v>
      </c>
      <c r="R137" s="79">
        <v>0.3250754274220583</v>
      </c>
      <c r="S137" s="76">
        <v>0.3254239776119933</v>
      </c>
      <c r="T137" s="77">
        <v>0.33235626183941386</v>
      </c>
      <c r="U137" s="78">
        <v>0.33457593330489965</v>
      </c>
      <c r="V137" s="79">
        <v>0.3361903597690557</v>
      </c>
      <c r="W137" s="76">
        <v>0.33970594790393455</v>
      </c>
      <c r="X137" s="79">
        <v>0.34747072237648613</v>
      </c>
    </row>
    <row r="138" spans="1:24" ht="4.5" customHeight="1" thickBot="1">
      <c r="A138" s="9" t="e">
        <f t="shared" si="3"/>
        <v>#REF!</v>
      </c>
      <c r="D138" s="18"/>
      <c r="E138" s="25"/>
      <c r="F138" s="25"/>
      <c r="G138" s="24"/>
      <c r="H138" s="25"/>
      <c r="I138" s="25"/>
      <c r="J138" s="26"/>
      <c r="K138" s="24"/>
      <c r="L138" s="25"/>
      <c r="M138" s="25"/>
      <c r="N138" s="26"/>
      <c r="O138" s="24"/>
      <c r="P138" s="25"/>
      <c r="Q138" s="25"/>
      <c r="R138" s="26"/>
      <c r="S138" s="24"/>
      <c r="T138" s="25"/>
      <c r="U138" s="25"/>
      <c r="V138" s="26"/>
      <c r="W138" s="24"/>
      <c r="X138" s="26"/>
    </row>
    <row r="139" spans="1:24" ht="15" thickBot="1">
      <c r="A139" s="9" t="e">
        <f t="shared" si="3"/>
        <v>#REF!</v>
      </c>
      <c r="C139" s="59"/>
      <c r="D139" s="150" t="s">
        <v>187</v>
      </c>
      <c r="E139" s="25"/>
      <c r="F139" s="25"/>
      <c r="G139" s="31">
        <f>_xlfn.COMPOUNDVALUE(334)</f>
        <v>43430</v>
      </c>
      <c r="H139" s="32">
        <f>_xlfn.COMPOUNDVALUE(333)</f>
        <v>48408</v>
      </c>
      <c r="I139" s="33">
        <f>_xlfn.COMPOUNDVALUE(332)</f>
        <v>55605</v>
      </c>
      <c r="J139" s="34">
        <f>_xlfn.COMPOUNDVALUE(331)</f>
        <v>64115</v>
      </c>
      <c r="K139" s="31">
        <f>_xlfn.COMPOUNDVALUE(330)</f>
        <v>50269</v>
      </c>
      <c r="L139" s="32">
        <f>_xlfn.COMPOUNDVALUE(329)</f>
        <v>50157</v>
      </c>
      <c r="M139" s="33">
        <f>_xlfn.COMPOUNDVALUE(328)</f>
        <v>50533</v>
      </c>
      <c r="N139" s="34">
        <f>_xlfn.COMPOUNDVALUE(327)</f>
        <v>52905</v>
      </c>
      <c r="O139" s="31">
        <f>_xlfn.COMPOUNDVALUE(326)</f>
        <v>53512</v>
      </c>
      <c r="P139" s="32">
        <f>_xlfn.COMPOUNDVALUE(325)</f>
        <v>55043</v>
      </c>
      <c r="Q139" s="33">
        <f>_xlfn.COMPOUNDVALUE(324)</f>
        <v>59356</v>
      </c>
      <c r="R139" s="34">
        <f>_xlfn.COMPOUNDVALUE(323)</f>
        <v>60030</v>
      </c>
      <c r="S139" s="31">
        <f>_xlfn.COMPOUNDVALUE(322)</f>
        <v>60731</v>
      </c>
      <c r="T139" s="32">
        <f>_xlfn.COMPOUNDVALUE(321)</f>
        <v>66866</v>
      </c>
      <c r="U139" s="33">
        <f>_xlfn.COMPOUNDVALUE(356)</f>
        <v>70259</v>
      </c>
      <c r="V139" s="34">
        <f>_xlfn.COMPOUNDVALUE(475)</f>
        <v>75211</v>
      </c>
      <c r="W139" s="31">
        <f>_xlfn.COMPOUNDVALUE(515)</f>
        <v>82061</v>
      </c>
      <c r="X139" s="34">
        <f>_xlfn.COMPOUNDVALUE(534)</f>
        <v>82523</v>
      </c>
    </row>
    <row r="140" spans="1:24" ht="14.25">
      <c r="A140" s="9" t="e">
        <f t="shared" si="3"/>
        <v>#REF!</v>
      </c>
      <c r="D140" s="215" t="s">
        <v>59</v>
      </c>
      <c r="E140" s="25"/>
      <c r="F140" s="25"/>
      <c r="G140" s="64">
        <f>_xlfn.COMPOUNDVALUE(334)</f>
        <v>0.3830650496141125</v>
      </c>
      <c r="H140" s="65">
        <f>_xlfn.COMPOUNDVALUE(333)</f>
        <v>0.4134291009403104</v>
      </c>
      <c r="I140" s="66">
        <f>_xlfn.COMPOUNDVALUE(332)</f>
        <v>0.4626347843450479</v>
      </c>
      <c r="J140" s="67">
        <f>_xlfn.COMPOUNDVALUE(331)</f>
        <v>0.527027471353182</v>
      </c>
      <c r="K140" s="64">
        <f>_xlfn.COMPOUNDVALUE(330)</f>
        <v>0.40869437962910266</v>
      </c>
      <c r="L140" s="65">
        <f>_xlfn.COMPOUNDVALUE(329)</f>
        <v>0.400007975117633</v>
      </c>
      <c r="M140" s="66">
        <f>_xlfn.COMPOUNDVALUE(328)</f>
        <v>0.3963434720544636</v>
      </c>
      <c r="N140" s="67">
        <f>_xlfn.COMPOUNDVALUE(327)</f>
        <v>0.41114254184864546</v>
      </c>
      <c r="O140" s="64">
        <f>_xlfn.COMPOUNDVALUE(326)</f>
        <v>0.4116941067856593</v>
      </c>
      <c r="P140" s="65">
        <f>_xlfn.COMPOUNDVALUE(325)</f>
        <v>0.4141031138796729</v>
      </c>
      <c r="Q140" s="66">
        <f>_xlfn.COMPOUNDVALUE(324)</f>
        <v>0.44102000178321993</v>
      </c>
      <c r="R140" s="67">
        <f>_xlfn.COMPOUNDVALUE(323)</f>
        <v>0.44218388603249903</v>
      </c>
      <c r="S140" s="64">
        <f>_xlfn.COMPOUNDVALUE(322)</f>
        <v>0.44184388391330603</v>
      </c>
      <c r="T140" s="65">
        <f>_xlfn.COMPOUNDVALUE(321)</f>
        <v>0.4752009437783826</v>
      </c>
      <c r="U140" s="66">
        <f>_xlfn.COMPOUNDVALUE(356)</f>
        <v>0.49482699120342005</v>
      </c>
      <c r="V140" s="67">
        <f>_xlfn.COMPOUNDVALUE(475)</f>
        <v>0.5259142717292496</v>
      </c>
      <c r="W140" s="64">
        <f>_xlfn.COMPOUNDVALUE(515)</f>
        <v>0.5667196132596685</v>
      </c>
      <c r="X140" s="67">
        <f>_xlfn.COMPOUNDVALUE(534)</f>
        <v>0.5560436894839331</v>
      </c>
    </row>
    <row r="141" spans="1:24" ht="7.5" customHeight="1" thickBot="1">
      <c r="A141" s="9" t="e">
        <f t="shared" si="3"/>
        <v>#REF!</v>
      </c>
      <c r="C141" s="28"/>
      <c r="D141" s="151"/>
      <c r="E141" s="25"/>
      <c r="F141" s="25"/>
      <c r="G141" s="162"/>
      <c r="H141" s="29"/>
      <c r="I141" s="29"/>
      <c r="J141" s="163"/>
      <c r="K141" s="162"/>
      <c r="L141" s="29"/>
      <c r="M141" s="29"/>
      <c r="N141" s="163"/>
      <c r="O141" s="162"/>
      <c r="P141" s="29"/>
      <c r="Q141" s="29"/>
      <c r="R141" s="163"/>
      <c r="S141" s="162"/>
      <c r="T141" s="29"/>
      <c r="U141" s="29"/>
      <c r="V141" s="163"/>
      <c r="W141" s="162"/>
      <c r="X141" s="163"/>
    </row>
    <row r="142" spans="1:24" ht="15" thickBot="1">
      <c r="A142" s="9" t="e">
        <f t="shared" si="3"/>
        <v>#REF!</v>
      </c>
      <c r="C142" s="60"/>
      <c r="D142" s="152" t="s">
        <v>23</v>
      </c>
      <c r="E142" s="25"/>
      <c r="F142" s="25"/>
      <c r="G142" s="164">
        <f>_xlfn.COMPOUNDVALUE(947)</f>
        <v>45.12963339183219</v>
      </c>
      <c r="H142" s="165">
        <f>_xlfn.COMPOUNDVALUE(1033)</f>
        <v>45.443065554707026</v>
      </c>
      <c r="I142" s="166">
        <f>_xlfn.COMPOUNDVALUE(1064)</f>
        <v>42.817696570732586</v>
      </c>
      <c r="J142" s="167">
        <f>_xlfn.COMPOUNDVALUE(1091)</f>
        <v>43.82605724303896</v>
      </c>
      <c r="K142" s="164">
        <f>_xlfn.COMPOUNDVALUE(757)</f>
        <v>42.437678073344685</v>
      </c>
      <c r="L142" s="165">
        <f>_xlfn.COMPOUNDVALUE(824)</f>
        <v>42.82396151532475</v>
      </c>
      <c r="M142" s="166">
        <f>_xlfn.COMPOUNDVALUE(726)</f>
        <v>42.61988532472873</v>
      </c>
      <c r="N142" s="167">
        <f>_xlfn.COMPOUNDVALUE(686)</f>
        <v>42.66135391293485</v>
      </c>
      <c r="O142" s="164">
        <f>_xlfn.COMPOUNDVALUE(979)</f>
        <v>43.412077569609295</v>
      </c>
      <c r="P142" s="165">
        <f>_xlfn.COMPOUNDVALUE(836)</f>
        <v>44.48176424562858</v>
      </c>
      <c r="Q142" s="166">
        <f>_xlfn.COMPOUNDVALUE(919)</f>
        <v>44.460281486080845</v>
      </c>
      <c r="R142" s="167">
        <f>_xlfn.COMPOUNDVALUE(582)</f>
        <v>44.566765330354436</v>
      </c>
      <c r="S142" s="164">
        <f>_xlfn.COMPOUNDVALUE(803)</f>
        <v>44.52797117204171</v>
      </c>
      <c r="T142" s="165">
        <f>_xlfn.COMPOUNDVALUE(1000)</f>
        <v>45.714557333261425</v>
      </c>
      <c r="U142" s="166">
        <f>_xlfn.COMPOUNDVALUE(770)</f>
        <v>43.76884009784293</v>
      </c>
      <c r="V142" s="167">
        <f>_xlfn.COMPOUNDVALUE(654)</f>
        <v>42.16415625427636</v>
      </c>
      <c r="W142" s="164">
        <f>_xlfn.COMPOUNDVALUE(894)</f>
        <v>44.284372815399045</v>
      </c>
      <c r="X142" s="167">
        <f>_xlfn.COMPOUNDVALUE(858)</f>
        <v>44.253279106172684</v>
      </c>
    </row>
    <row r="143" spans="1:24" ht="15" thickBot="1">
      <c r="A143" s="9" t="e">
        <f t="shared" si="3"/>
        <v>#REF!</v>
      </c>
      <c r="D143" s="24"/>
      <c r="E143" s="25"/>
      <c r="F143" s="25"/>
      <c r="G143" s="25"/>
      <c r="H143" s="25"/>
      <c r="I143" s="25"/>
      <c r="J143" s="25"/>
      <c r="K143" s="25"/>
      <c r="L143" s="25"/>
      <c r="M143" s="25"/>
      <c r="N143" s="25"/>
      <c r="O143" s="25"/>
      <c r="P143" s="25"/>
      <c r="Q143" s="25"/>
      <c r="R143" s="25"/>
      <c r="S143" s="25"/>
      <c r="T143" s="25"/>
      <c r="U143" s="25"/>
      <c r="V143" s="25"/>
      <c r="W143" s="25"/>
      <c r="X143" s="26"/>
    </row>
    <row r="144" spans="1:24" ht="20.25" thickBot="1">
      <c r="A144" s="9" t="e">
        <f t="shared" si="3"/>
        <v>#REF!</v>
      </c>
      <c r="C144" s="10"/>
      <c r="D144" s="1" t="s">
        <v>60</v>
      </c>
      <c r="E144" s="252"/>
      <c r="F144" s="252"/>
      <c r="G144" s="252"/>
      <c r="H144" s="252"/>
      <c r="I144" s="252"/>
      <c r="J144" s="252"/>
      <c r="K144" s="252"/>
      <c r="L144" s="252"/>
      <c r="M144" s="252"/>
      <c r="N144" s="252"/>
      <c r="O144" s="252"/>
      <c r="P144" s="252"/>
      <c r="Q144" s="252"/>
      <c r="R144" s="252"/>
      <c r="S144" s="252"/>
      <c r="T144" s="252"/>
      <c r="U144" s="252"/>
      <c r="V144" s="252"/>
      <c r="W144" s="252"/>
      <c r="X144" s="253"/>
    </row>
    <row r="145" spans="1:24" ht="14.25">
      <c r="A145" s="9" t="e">
        <f t="shared" si="3"/>
        <v>#REF!</v>
      </c>
      <c r="C145" s="99"/>
      <c r="D145" s="115" t="s">
        <v>1</v>
      </c>
      <c r="E145" s="25"/>
      <c r="F145" s="21">
        <f>_xlfn.COMPOUNDVALUE(141)</f>
        <v>168013</v>
      </c>
      <c r="G145" s="117">
        <f>_xlfn.COMPOUNDVALUE(140)</f>
        <v>140511</v>
      </c>
      <c r="H145" s="118">
        <f>_xlfn.COMPOUNDVALUE(139)</f>
        <v>143186</v>
      </c>
      <c r="I145" s="119">
        <f>_xlfn.COMPOUNDVALUE(138)</f>
        <v>145012</v>
      </c>
      <c r="J145" s="120">
        <f>_xlfn.COMPOUNDVALUE(137)</f>
        <v>143752</v>
      </c>
      <c r="K145" s="117">
        <f>_xlfn.COMPOUNDVALUE(136)</f>
        <v>145743</v>
      </c>
      <c r="L145" s="118">
        <f>_xlfn.COMPOUNDVALUE(135)</f>
        <v>147722</v>
      </c>
      <c r="M145" s="119">
        <f>_xlfn.COMPOUNDVALUE(134)</f>
        <v>149131</v>
      </c>
      <c r="N145" s="120">
        <f>_xlfn.COMPOUNDVALUE(133)</f>
        <v>149727</v>
      </c>
      <c r="O145" s="117">
        <f>_xlfn.COMPOUNDVALUE(132)</f>
        <v>148165</v>
      </c>
      <c r="P145" s="118">
        <f>_xlfn.COMPOUNDVALUE(131)</f>
        <v>148470</v>
      </c>
      <c r="Q145" s="119">
        <f>_xlfn.COMPOUNDVALUE(130)</f>
        <v>148939</v>
      </c>
      <c r="R145" s="120">
        <f>_xlfn.COMPOUNDVALUE(129)</f>
        <v>147896</v>
      </c>
      <c r="S145" s="117">
        <f>_xlfn.COMPOUNDVALUE(128)</f>
        <v>148592</v>
      </c>
      <c r="T145" s="118">
        <f>_xlfn.COMPOUNDVALUE(127)</f>
        <v>149049</v>
      </c>
      <c r="U145" s="119">
        <f>_xlfn.COMPOUNDVALUE(353)</f>
        <v>149166</v>
      </c>
      <c r="V145" s="120">
        <f>_xlfn.COMPOUNDVALUE(467)</f>
        <v>148905</v>
      </c>
      <c r="W145" s="117">
        <f>_xlfn.COMPOUNDVALUE(507)</f>
        <v>148545</v>
      </c>
      <c r="X145" s="120">
        <f>_xlfn.COMPOUNDVALUE(542)</f>
        <v>149158</v>
      </c>
    </row>
    <row r="146" spans="1:24" s="16" customFormat="1" ht="14.25">
      <c r="A146" s="9" t="e">
        <f t="shared" si="3"/>
        <v>#REF!</v>
      </c>
      <c r="C146" s="98"/>
      <c r="D146" s="210" t="s">
        <v>27</v>
      </c>
      <c r="F146" s="23"/>
      <c r="G146" s="51">
        <f>_xlfn.COMPOUNDVALUE(126)</f>
        <v>92035</v>
      </c>
      <c r="H146" s="52">
        <f>_xlfn.COMPOUNDVALUE(125)</f>
        <v>90687</v>
      </c>
      <c r="I146" s="53">
        <f>_xlfn.COMPOUNDVALUE(124)</f>
        <v>87187</v>
      </c>
      <c r="J146" s="54">
        <f>_xlfn.COMPOUNDVALUE(123)</f>
        <v>83306</v>
      </c>
      <c r="K146" s="51">
        <f>_xlfn.COMPOUNDVALUE(122)</f>
        <v>83565</v>
      </c>
      <c r="L146" s="52">
        <f>_xlfn.COMPOUNDVALUE(121)</f>
        <v>83740</v>
      </c>
      <c r="M146" s="53">
        <f>_xlfn.COMPOUNDVALUE(120)</f>
        <v>83741</v>
      </c>
      <c r="N146" s="54">
        <f>_xlfn.COMPOUNDVALUE(119)</f>
        <v>83787</v>
      </c>
      <c r="O146" s="51">
        <f>_xlfn.COMPOUNDVALUE(118)</f>
        <v>83556</v>
      </c>
      <c r="P146" s="52">
        <f>_xlfn.COMPOUNDVALUE(117)</f>
        <v>83266</v>
      </c>
      <c r="Q146" s="53">
        <f>_xlfn.COMPOUNDVALUE(116)</f>
        <v>82808</v>
      </c>
      <c r="R146" s="54">
        <f>_xlfn.COMPOUNDVALUE(115)</f>
        <v>81768</v>
      </c>
      <c r="S146" s="51">
        <f>_xlfn.COMPOUNDVALUE(114)</f>
        <v>81207</v>
      </c>
      <c r="T146" s="52">
        <f>_xlfn.COMPOUNDVALUE(113)</f>
        <v>81514</v>
      </c>
      <c r="U146" s="53">
        <f>_xlfn.COMPOUNDVALUE(352)</f>
        <v>81460</v>
      </c>
      <c r="V146" s="54">
        <f>_xlfn.COMPOUNDVALUE(461)</f>
        <v>80667</v>
      </c>
      <c r="W146" s="51">
        <f>_xlfn.COMPOUNDVALUE(499)</f>
        <v>79872</v>
      </c>
      <c r="X146" s="54">
        <f>_xlfn.COMPOUNDVALUE(540)</f>
        <v>79965</v>
      </c>
    </row>
    <row r="147" spans="1:24" s="16" customFormat="1" ht="14.25">
      <c r="A147" s="9" t="e">
        <f t="shared" si="3"/>
        <v>#REF!</v>
      </c>
      <c r="C147" s="98"/>
      <c r="D147" s="210" t="s">
        <v>26</v>
      </c>
      <c r="F147" s="23"/>
      <c r="G147" s="51">
        <f>_xlfn.COMPOUNDVALUE(140)</f>
        <v>48476</v>
      </c>
      <c r="H147" s="52">
        <f>_xlfn.COMPOUNDVALUE(139)</f>
        <v>52499</v>
      </c>
      <c r="I147" s="53">
        <f>_xlfn.COMPOUNDVALUE(138)</f>
        <v>57825</v>
      </c>
      <c r="J147" s="54">
        <f>_xlfn.COMPOUNDVALUE(137)</f>
        <v>60446</v>
      </c>
      <c r="K147" s="51">
        <f>_xlfn.COMPOUNDVALUE(136)</f>
        <v>62178</v>
      </c>
      <c r="L147" s="52">
        <f>_xlfn.COMPOUNDVALUE(135)</f>
        <v>63982</v>
      </c>
      <c r="M147" s="53">
        <f>_xlfn.COMPOUNDVALUE(134)</f>
        <v>65390</v>
      </c>
      <c r="N147" s="54">
        <f>_xlfn.COMPOUNDVALUE(133)</f>
        <v>65940</v>
      </c>
      <c r="O147" s="51">
        <f>_xlfn.COMPOUNDVALUE(132)</f>
        <v>64609</v>
      </c>
      <c r="P147" s="52">
        <f>_xlfn.COMPOUNDVALUE(131)</f>
        <v>65204</v>
      </c>
      <c r="Q147" s="53">
        <f>_xlfn.COMPOUNDVALUE(130)</f>
        <v>66131</v>
      </c>
      <c r="R147" s="54">
        <f>_xlfn.COMPOUNDVALUE(129)</f>
        <v>66128</v>
      </c>
      <c r="S147" s="51">
        <f>_xlfn.COMPOUNDVALUE(128)</f>
        <v>67385</v>
      </c>
      <c r="T147" s="52">
        <f>_xlfn.COMPOUNDVALUE(127)</f>
        <v>67535</v>
      </c>
      <c r="U147" s="53">
        <f>_xlfn.COMPOUNDVALUE(353)</f>
        <v>67706</v>
      </c>
      <c r="V147" s="54">
        <f>_xlfn.COMPOUNDVALUE(467)</f>
        <v>68238</v>
      </c>
      <c r="W147" s="51">
        <f>_xlfn.COMPOUNDVALUE(507)</f>
        <v>68673</v>
      </c>
      <c r="X147" s="54">
        <f>_xlfn.COMPOUNDVALUE(542)</f>
        <v>69193</v>
      </c>
    </row>
    <row r="148" spans="1:24" s="16" customFormat="1" ht="15">
      <c r="A148" s="9" t="e">
        <f t="shared" si="3"/>
        <v>#REF!</v>
      </c>
      <c r="C148" s="98"/>
      <c r="D148" s="101"/>
      <c r="F148" s="23"/>
      <c r="G148" s="102"/>
      <c r="H148" s="103"/>
      <c r="I148" s="104"/>
      <c r="J148" s="105"/>
      <c r="K148" s="102"/>
      <c r="L148" s="103"/>
      <c r="M148" s="104"/>
      <c r="N148" s="105"/>
      <c r="O148" s="102"/>
      <c r="P148" s="103"/>
      <c r="Q148" s="104"/>
      <c r="R148" s="105"/>
      <c r="S148" s="102"/>
      <c r="T148" s="103"/>
      <c r="U148" s="104"/>
      <c r="V148" s="105"/>
      <c r="W148" s="102"/>
      <c r="X148" s="105"/>
    </row>
    <row r="149" spans="1:24" ht="15" thickBot="1">
      <c r="A149" s="9" t="e">
        <f t="shared" si="3"/>
        <v>#REF!</v>
      </c>
      <c r="D149" s="213" t="s">
        <v>61</v>
      </c>
      <c r="E149" s="25" t="s">
        <v>62</v>
      </c>
      <c r="F149" s="100">
        <f>_xlfn.COMPOUNDVALUE(141)</f>
        <v>28677</v>
      </c>
      <c r="G149" s="47">
        <f>_xlfn.COMPOUNDVALUE(140)</f>
        <v>23532</v>
      </c>
      <c r="H149" s="48">
        <f>_xlfn.COMPOUNDVALUE(139)</f>
        <v>19226</v>
      </c>
      <c r="I149" s="49">
        <f>_xlfn.COMPOUNDVALUE(138)</f>
        <v>16758</v>
      </c>
      <c r="J149" s="50">
        <f>_xlfn.COMPOUNDVALUE(137)</f>
        <v>12940</v>
      </c>
      <c r="K149" s="47">
        <f>_xlfn.COMPOUNDVALUE(136)</f>
        <v>12721</v>
      </c>
      <c r="L149" s="48">
        <f>_xlfn.COMPOUNDVALUE(135)</f>
        <v>11708</v>
      </c>
      <c r="M149" s="49">
        <f>_xlfn.COMPOUNDVALUE(134)</f>
        <v>11107</v>
      </c>
      <c r="N149" s="50">
        <f>_xlfn.COMPOUNDVALUE(133)</f>
        <v>10156</v>
      </c>
      <c r="O149" s="47">
        <f>_xlfn.COMPOUNDVALUE(132)</f>
        <v>9529</v>
      </c>
      <c r="P149" s="48">
        <f>_xlfn.COMPOUNDVALUE(131)</f>
        <v>9257</v>
      </c>
      <c r="Q149" s="49">
        <f>_xlfn.COMPOUNDVALUE(130)</f>
        <v>8937</v>
      </c>
      <c r="R149" s="50">
        <f>_xlfn.COMPOUNDVALUE(129)</f>
        <v>8516</v>
      </c>
      <c r="S149" s="47">
        <f>_xlfn.COMPOUNDVALUE(128)</f>
        <v>8187</v>
      </c>
      <c r="T149" s="48">
        <f>_xlfn.COMPOUNDVALUE(127)</f>
        <v>7964</v>
      </c>
      <c r="U149" s="49">
        <f>_xlfn.COMPOUNDVALUE(353)</f>
        <v>7796</v>
      </c>
      <c r="V149" s="50">
        <f>_xlfn.COMPOUNDVALUE(467)</f>
        <v>7495</v>
      </c>
      <c r="W149" s="47">
        <f>_xlfn.COMPOUNDVALUE(507)</f>
        <v>7186</v>
      </c>
      <c r="X149" s="50">
        <f>_xlfn.COMPOUNDVALUE(542)</f>
        <v>7208</v>
      </c>
    </row>
    <row r="150" spans="1:24" ht="14.25">
      <c r="A150" s="9" t="e">
        <f t="shared" si="3"/>
        <v>#REF!</v>
      </c>
      <c r="D150" s="215" t="s">
        <v>200</v>
      </c>
      <c r="E150" s="25"/>
      <c r="F150" s="25"/>
      <c r="G150" s="64">
        <f>_xlfn.COMPOUNDVALUE(140)</f>
        <v>0.16747443260669984</v>
      </c>
      <c r="H150" s="65">
        <f>_xlfn.COMPOUNDVALUE(139)</f>
        <v>0.13427290377550877</v>
      </c>
      <c r="I150" s="66">
        <f>_xlfn.COMPOUNDVALUE(138)</f>
        <v>0.11556284997103689</v>
      </c>
      <c r="J150" s="67">
        <f>_xlfn.COMPOUNDVALUE(137)</f>
        <v>0.09001613890589348</v>
      </c>
      <c r="K150" s="64">
        <f>_xlfn.COMPOUNDVALUE(136)</f>
        <v>0.08728378035308729</v>
      </c>
      <c r="L150" s="65">
        <f>_xlfn.COMPOUNDVALUE(135)</f>
        <v>0.07925698271076752</v>
      </c>
      <c r="M150" s="66">
        <f>_xlfn.COMPOUNDVALUE(134)</f>
        <v>0.07447814337729915</v>
      </c>
      <c r="N150" s="67">
        <f>_xlfn.COMPOUNDVALUE(133)</f>
        <v>0.06783011748048114</v>
      </c>
      <c r="O150" s="64">
        <f>_xlfn.COMPOUNDVALUE(132)</f>
        <v>0.06431343434684304</v>
      </c>
      <c r="P150" s="65">
        <f>_xlfn.COMPOUNDVALUE(131)</f>
        <v>0.062349296154105206</v>
      </c>
      <c r="Q150" s="66">
        <f>_xlfn.COMPOUNDVALUE(130)</f>
        <v>0.060004431344375886</v>
      </c>
      <c r="R150" s="67">
        <f>_xlfn.COMPOUNDVALUE(129)</f>
        <v>0.05758100286687943</v>
      </c>
      <c r="S150" s="64">
        <f>_xlfn.COMPOUNDVALUE(128)</f>
        <v>0.05509717885215893</v>
      </c>
      <c r="T150" s="65">
        <f>_xlfn.COMPOUNDVALUE(127)</f>
        <v>0.053432092801696085</v>
      </c>
      <c r="U150" s="66">
        <f>_xlfn.COMPOUNDVALUE(353)</f>
        <v>0.05226392073260663</v>
      </c>
      <c r="V150" s="67">
        <f>_xlfn.COMPOUNDVALUE(467)</f>
        <v>0.05033410563782277</v>
      </c>
      <c r="W150" s="64">
        <f>_xlfn.COMPOUNDVALUE(507)</f>
        <v>0.048375913022989665</v>
      </c>
      <c r="X150" s="67">
        <f>_xlfn.COMPOUNDVALUE(542)</f>
        <v>0.04832459539548666</v>
      </c>
    </row>
    <row r="151" spans="1:24" ht="14.25">
      <c r="A151" s="9" t="e">
        <f t="shared" si="3"/>
        <v>#REF!</v>
      </c>
      <c r="D151" s="210" t="s">
        <v>27</v>
      </c>
      <c r="E151" s="25" t="s">
        <v>10</v>
      </c>
      <c r="F151" s="25"/>
      <c r="G151" s="51">
        <f>_xlfn.COMPOUNDVALUE(126)</f>
        <v>23532</v>
      </c>
      <c r="H151" s="52">
        <f>_xlfn.COMPOUNDVALUE(125)</f>
        <v>19226</v>
      </c>
      <c r="I151" s="53">
        <f>_xlfn.COMPOUNDVALUE(124)</f>
        <v>16758</v>
      </c>
      <c r="J151" s="54">
        <f>_xlfn.COMPOUNDVALUE(123)</f>
        <v>12940</v>
      </c>
      <c r="K151" s="51">
        <f>_xlfn.COMPOUNDVALUE(122)</f>
        <v>12721</v>
      </c>
      <c r="L151" s="52">
        <f>_xlfn.COMPOUNDVALUE(121)</f>
        <v>11708</v>
      </c>
      <c r="M151" s="53">
        <f>_xlfn.COMPOUNDVALUE(120)</f>
        <v>11107</v>
      </c>
      <c r="N151" s="54">
        <f>_xlfn.COMPOUNDVALUE(119)</f>
        <v>10156</v>
      </c>
      <c r="O151" s="51">
        <f>_xlfn.COMPOUNDVALUE(118)</f>
        <v>9529</v>
      </c>
      <c r="P151" s="52">
        <f>_xlfn.COMPOUNDVALUE(117)</f>
        <v>9257</v>
      </c>
      <c r="Q151" s="53">
        <f>_xlfn.COMPOUNDVALUE(116)</f>
        <v>8937</v>
      </c>
      <c r="R151" s="54">
        <f>_xlfn.COMPOUNDVALUE(115)</f>
        <v>8516</v>
      </c>
      <c r="S151" s="51">
        <f>_xlfn.COMPOUNDVALUE(114)</f>
        <v>8187</v>
      </c>
      <c r="T151" s="52">
        <f>_xlfn.COMPOUNDVALUE(113)</f>
        <v>7964</v>
      </c>
      <c r="U151" s="53">
        <f>_xlfn.COMPOUNDVALUE(352)</f>
        <v>7796</v>
      </c>
      <c r="V151" s="54">
        <f>_xlfn.COMPOUNDVALUE(461)</f>
        <v>7495</v>
      </c>
      <c r="W151" s="51">
        <f>_xlfn.COMPOUNDVALUE(499)</f>
        <v>7186</v>
      </c>
      <c r="X151" s="54">
        <f>_xlfn.COMPOUNDVALUE(540)</f>
        <v>7208</v>
      </c>
    </row>
    <row r="152" spans="1:24" ht="14.25">
      <c r="A152" s="9" t="e">
        <f t="shared" si="3"/>
        <v>#REF!</v>
      </c>
      <c r="D152" s="210" t="s">
        <v>26</v>
      </c>
      <c r="E152" s="25" t="s">
        <v>9</v>
      </c>
      <c r="F152" s="25"/>
      <c r="G152" s="51">
        <v>0</v>
      </c>
      <c r="H152" s="52">
        <v>0</v>
      </c>
      <c r="I152" s="53">
        <v>0</v>
      </c>
      <c r="J152" s="54">
        <v>0</v>
      </c>
      <c r="K152" s="51">
        <v>0</v>
      </c>
      <c r="L152" s="52">
        <v>0</v>
      </c>
      <c r="M152" s="53">
        <v>0</v>
      </c>
      <c r="N152" s="54">
        <v>0</v>
      </c>
      <c r="O152" s="51">
        <v>0</v>
      </c>
      <c r="P152" s="52">
        <v>0</v>
      </c>
      <c r="Q152" s="53">
        <v>0</v>
      </c>
      <c r="R152" s="54">
        <v>0</v>
      </c>
      <c r="S152" s="51">
        <v>0</v>
      </c>
      <c r="T152" s="52">
        <v>0</v>
      </c>
      <c r="U152" s="53">
        <v>0</v>
      </c>
      <c r="V152" s="54">
        <v>0</v>
      </c>
      <c r="W152" s="51">
        <v>0</v>
      </c>
      <c r="X152" s="54">
        <v>0</v>
      </c>
    </row>
    <row r="153" spans="1:24" ht="7.5" customHeight="1" thickBot="1">
      <c r="A153" s="9" t="e">
        <f t="shared" si="3"/>
        <v>#REF!</v>
      </c>
      <c r="D153" s="210"/>
      <c r="E153" s="25"/>
      <c r="F153" s="25"/>
      <c r="G153" s="41"/>
      <c r="H153" s="42"/>
      <c r="I153" s="37"/>
      <c r="J153" s="38"/>
      <c r="K153" s="41"/>
      <c r="L153" s="42"/>
      <c r="M153" s="37"/>
      <c r="N153" s="38"/>
      <c r="O153" s="41"/>
      <c r="P153" s="42"/>
      <c r="Q153" s="37"/>
      <c r="R153" s="38"/>
      <c r="S153" s="41"/>
      <c r="T153" s="42"/>
      <c r="U153" s="37"/>
      <c r="V153" s="38"/>
      <c r="W153" s="41"/>
      <c r="X153" s="38"/>
    </row>
    <row r="154" spans="1:24" ht="15" thickBot="1">
      <c r="A154" s="9" t="e">
        <f t="shared" si="3"/>
        <v>#REF!</v>
      </c>
      <c r="D154" s="213" t="s">
        <v>63</v>
      </c>
      <c r="E154" s="25" t="s">
        <v>64</v>
      </c>
      <c r="F154" s="20">
        <f>_xlfn.COMPOUNDVALUE(485)</f>
        <v>139336</v>
      </c>
      <c r="G154" s="47">
        <f>_xlfn.COMPOUNDVALUE(952)</f>
        <v>116979</v>
      </c>
      <c r="H154" s="48">
        <v>123960</v>
      </c>
      <c r="I154" s="49">
        <v>128254</v>
      </c>
      <c r="J154" s="50">
        <v>130812</v>
      </c>
      <c r="K154" s="47">
        <v>133022</v>
      </c>
      <c r="L154" s="48">
        <v>136014</v>
      </c>
      <c r="M154" s="49">
        <v>137561</v>
      </c>
      <c r="N154" s="50">
        <v>138298</v>
      </c>
      <c r="O154" s="47">
        <v>136702</v>
      </c>
      <c r="P154" s="48">
        <v>136838</v>
      </c>
      <c r="Q154" s="49">
        <v>136644</v>
      </c>
      <c r="R154" s="50">
        <v>135544</v>
      </c>
      <c r="S154" s="47">
        <v>136004</v>
      </c>
      <c r="T154" s="48">
        <v>136215</v>
      </c>
      <c r="U154" s="49">
        <v>136125</v>
      </c>
      <c r="V154" s="50">
        <v>135456</v>
      </c>
      <c r="W154" s="47">
        <v>134095</v>
      </c>
      <c r="X154" s="50">
        <v>132661</v>
      </c>
    </row>
    <row r="155" spans="1:24" ht="14.25">
      <c r="A155" s="9" t="e">
        <f t="shared" si="3"/>
        <v>#REF!</v>
      </c>
      <c r="D155" s="215" t="s">
        <v>200</v>
      </c>
      <c r="E155" s="25"/>
      <c r="F155" s="25"/>
      <c r="G155" s="64">
        <f>_xlfn.COMPOUNDVALUE(952)</f>
        <v>0.8325255673933002</v>
      </c>
      <c r="H155" s="65">
        <v>0.8657270962244912</v>
      </c>
      <c r="I155" s="66">
        <v>0.8844371500289632</v>
      </c>
      <c r="J155" s="67">
        <v>0.9099838610941066</v>
      </c>
      <c r="K155" s="64">
        <v>0.9127162196469127</v>
      </c>
      <c r="L155" s="65">
        <v>0.9207430172892325</v>
      </c>
      <c r="M155" s="66">
        <v>0.922417203666575</v>
      </c>
      <c r="N155" s="67">
        <v>0.9236677419570285</v>
      </c>
      <c r="O155" s="64">
        <v>0.9226335504336381</v>
      </c>
      <c r="P155" s="65">
        <v>0.9216542062369503</v>
      </c>
      <c r="Q155" s="66">
        <v>0.9174494256037706</v>
      </c>
      <c r="R155" s="67">
        <v>0.9164818521122952</v>
      </c>
      <c r="S155" s="64">
        <v>0.9152848067190696</v>
      </c>
      <c r="T155" s="65">
        <v>0.9138940885212246</v>
      </c>
      <c r="U155" s="66">
        <v>0.9125739109448534</v>
      </c>
      <c r="V155" s="67">
        <v>0.9096806688828447</v>
      </c>
      <c r="W155" s="64">
        <v>0.9027230805479821</v>
      </c>
      <c r="X155" s="67">
        <v>0.8893991606216227</v>
      </c>
    </row>
    <row r="156" spans="1:24" ht="14.25">
      <c r="A156" s="9" t="e">
        <f t="shared" si="3"/>
        <v>#REF!</v>
      </c>
      <c r="D156" s="210" t="s">
        <v>27</v>
      </c>
      <c r="E156" s="25" t="s">
        <v>10</v>
      </c>
      <c r="F156" s="25"/>
      <c r="G156" s="51">
        <f>_xlfn.COMPOUNDVALUE(112)</f>
        <v>68503</v>
      </c>
      <c r="H156" s="52">
        <f>_xlfn.COMPOUNDVALUE(111)</f>
        <v>71461</v>
      </c>
      <c r="I156" s="53">
        <f>_xlfn.COMPOUNDVALUE(110)</f>
        <v>70429</v>
      </c>
      <c r="J156" s="54">
        <f>_xlfn.COMPOUNDVALUE(109)</f>
        <v>70366</v>
      </c>
      <c r="K156" s="51">
        <f>_xlfn.COMPOUNDVALUE(108)</f>
        <v>70844</v>
      </c>
      <c r="L156" s="52">
        <f>_xlfn.COMPOUNDVALUE(107)</f>
        <v>72032</v>
      </c>
      <c r="M156" s="53">
        <f>_xlfn.COMPOUNDVALUE(106)</f>
        <v>72634</v>
      </c>
      <c r="N156" s="54">
        <f>_xlfn.COMPOUNDVALUE(105)</f>
        <v>73631</v>
      </c>
      <c r="O156" s="51">
        <f>_xlfn.COMPOUNDVALUE(104)</f>
        <v>74027</v>
      </c>
      <c r="P156" s="52">
        <f>_xlfn.COMPOUNDVALUE(103)</f>
        <v>74009</v>
      </c>
      <c r="Q156" s="53">
        <f>_xlfn.COMPOUNDVALUE(102)</f>
        <v>73871</v>
      </c>
      <c r="R156" s="54">
        <f>_xlfn.COMPOUNDVALUE(101)</f>
        <v>73252</v>
      </c>
      <c r="S156" s="51">
        <f>_xlfn.COMPOUNDVALUE(100)</f>
        <v>73020</v>
      </c>
      <c r="T156" s="52">
        <f>_xlfn.COMPOUNDVALUE(99)</f>
        <v>73550</v>
      </c>
      <c r="U156" s="53">
        <f>_xlfn.COMPOUNDVALUE(354)</f>
        <v>73664</v>
      </c>
      <c r="V156" s="54">
        <f>_xlfn.COMPOUNDVALUE(462)</f>
        <v>73172</v>
      </c>
      <c r="W156" s="51">
        <f>_xlfn.COMPOUNDVALUE(505)</f>
        <v>72686</v>
      </c>
      <c r="X156" s="54">
        <f>_xlfn.COMPOUNDVALUE(532)</f>
        <v>72757</v>
      </c>
    </row>
    <row r="157" spans="1:24" ht="14.25">
      <c r="A157" s="9" t="e">
        <f t="shared" si="3"/>
        <v>#REF!</v>
      </c>
      <c r="D157" s="210" t="s">
        <v>26</v>
      </c>
      <c r="E157" s="25" t="s">
        <v>9</v>
      </c>
      <c r="F157" s="25"/>
      <c r="G157" s="51">
        <v>48476</v>
      </c>
      <c r="H157" s="52">
        <f>_xlfn.COMPOUNDVALUE(1046)</f>
        <v>52499</v>
      </c>
      <c r="I157" s="53">
        <f>_xlfn.COMPOUNDVALUE(1058)</f>
        <v>57825</v>
      </c>
      <c r="J157" s="54">
        <f>_xlfn.COMPOUNDVALUE(1079)</f>
        <v>60446</v>
      </c>
      <c r="K157" s="51">
        <f>_xlfn.COMPOUNDVALUE(761)</f>
        <v>62178</v>
      </c>
      <c r="L157" s="52">
        <f>_xlfn.COMPOUNDVALUE(826)</f>
        <v>63982</v>
      </c>
      <c r="M157" s="53">
        <f>_xlfn.COMPOUNDVALUE(730)</f>
        <v>64927</v>
      </c>
      <c r="N157" s="54">
        <f>_xlfn.COMPOUNDVALUE(682)</f>
        <v>64667</v>
      </c>
      <c r="O157" s="51">
        <f>_xlfn.COMPOUNDVALUE(982)</f>
        <v>62675</v>
      </c>
      <c r="P157" s="52">
        <f>_xlfn.COMPOUNDVALUE(849)</f>
        <v>62829</v>
      </c>
      <c r="Q157" s="53">
        <f>_xlfn.COMPOUNDVALUE(914)</f>
        <v>62773</v>
      </c>
      <c r="R157" s="54">
        <f>_xlfn.COMPOUNDVALUE(570)</f>
        <v>62292</v>
      </c>
      <c r="S157" s="51">
        <f>_xlfn.COMPOUNDVALUE(807)</f>
        <v>62984</v>
      </c>
      <c r="T157" s="52">
        <f>_xlfn.COMPOUNDVALUE(1004)</f>
        <v>62665</v>
      </c>
      <c r="U157" s="53">
        <f>_xlfn.COMPOUNDVALUE(775)</f>
        <v>62461</v>
      </c>
      <c r="V157" s="54">
        <f>_xlfn.COMPOUNDVALUE(649)</f>
        <v>62284</v>
      </c>
      <c r="W157" s="51">
        <f>_xlfn.COMPOUNDVALUE(897)</f>
        <v>61409</v>
      </c>
      <c r="X157" s="54">
        <f>_xlfn.COMPOUNDVALUE(872)</f>
        <v>59904</v>
      </c>
    </row>
    <row r="158" spans="1:24" ht="6.75" customHeight="1" thickBot="1">
      <c r="A158" s="9" t="e">
        <f t="shared" si="3"/>
        <v>#REF!</v>
      </c>
      <c r="D158" s="210"/>
      <c r="E158" s="25"/>
      <c r="F158" s="25"/>
      <c r="G158" s="35"/>
      <c r="H158" s="36"/>
      <c r="I158" s="39"/>
      <c r="J158" s="40"/>
      <c r="K158" s="35"/>
      <c r="L158" s="36"/>
      <c r="M158" s="39"/>
      <c r="N158" s="40"/>
      <c r="O158" s="35"/>
      <c r="P158" s="36"/>
      <c r="Q158" s="39"/>
      <c r="R158" s="40"/>
      <c r="S158" s="35"/>
      <c r="T158" s="36"/>
      <c r="U158" s="39"/>
      <c r="V158" s="40"/>
      <c r="W158" s="35"/>
      <c r="X158" s="40"/>
    </row>
    <row r="159" spans="1:24" ht="15" thickBot="1">
      <c r="A159" s="9" t="e">
        <f t="shared" si="3"/>
        <v>#REF!</v>
      </c>
      <c r="D159" s="213" t="s">
        <v>65</v>
      </c>
      <c r="E159" s="25" t="s">
        <v>66</v>
      </c>
      <c r="F159" s="20">
        <v>0</v>
      </c>
      <c r="G159" s="47">
        <v>0</v>
      </c>
      <c r="H159" s="48">
        <v>0</v>
      </c>
      <c r="I159" s="49">
        <v>0</v>
      </c>
      <c r="J159" s="50">
        <v>0</v>
      </c>
      <c r="K159" s="47">
        <v>0</v>
      </c>
      <c r="L159" s="48">
        <v>0</v>
      </c>
      <c r="M159" s="49">
        <f>_xlfn.COMPOUNDVALUE(736)</f>
        <v>463</v>
      </c>
      <c r="N159" s="50">
        <f>_xlfn.COMPOUNDVALUE(675)</f>
        <v>1273</v>
      </c>
      <c r="O159" s="47">
        <f>_xlfn.COMPOUNDVALUE(969)</f>
        <v>1934</v>
      </c>
      <c r="P159" s="48">
        <f>_xlfn.COMPOUNDVALUE(851)</f>
        <v>2375</v>
      </c>
      <c r="Q159" s="49">
        <f>_xlfn.COMPOUNDVALUE(924)</f>
        <v>3358</v>
      </c>
      <c r="R159" s="50">
        <f>_xlfn.COMPOUNDVALUE(575)</f>
        <v>3836</v>
      </c>
      <c r="S159" s="47">
        <f>_xlfn.COMPOUNDVALUE(801)</f>
        <v>4401</v>
      </c>
      <c r="T159" s="48">
        <f>_xlfn.COMPOUNDVALUE(1006)</f>
        <v>4870</v>
      </c>
      <c r="U159" s="49">
        <f>_xlfn.COMPOUNDVALUE(780)</f>
        <v>5245</v>
      </c>
      <c r="V159" s="50">
        <f>_xlfn.COMPOUNDVALUE(642)</f>
        <v>5954</v>
      </c>
      <c r="W159" s="47">
        <f>_xlfn.COMPOUNDVALUE(881)</f>
        <v>7264</v>
      </c>
      <c r="X159" s="50">
        <f>_xlfn.COMPOUNDVALUE(874)</f>
        <v>9289</v>
      </c>
    </row>
    <row r="160" spans="1:24" ht="14.25">
      <c r="A160" s="9" t="e">
        <f t="shared" si="3"/>
        <v>#REF!</v>
      </c>
      <c r="D160" s="215" t="s">
        <v>200</v>
      </c>
      <c r="E160" s="25"/>
      <c r="F160" s="25"/>
      <c r="G160" s="106">
        <v>0</v>
      </c>
      <c r="H160" s="107">
        <v>0</v>
      </c>
      <c r="I160" s="108">
        <v>0</v>
      </c>
      <c r="J160" s="109">
        <v>0</v>
      </c>
      <c r="K160" s="106">
        <v>0</v>
      </c>
      <c r="L160" s="107">
        <v>0</v>
      </c>
      <c r="M160" s="108">
        <f>_xlfn.COMPOUNDVALUE(736)</f>
        <v>0.0031046529561258225</v>
      </c>
      <c r="N160" s="109">
        <f>_xlfn.COMPOUNDVALUE(675)</f>
        <v>0.0085021405624904</v>
      </c>
      <c r="O160" s="106">
        <f>_xlfn.COMPOUNDVALUE(969)</f>
        <v>0.01305301521951878</v>
      </c>
      <c r="P160" s="107">
        <f>_xlfn.COMPOUNDVALUE(851)</f>
        <v>0.015996497608944567</v>
      </c>
      <c r="Q160" s="66">
        <f>_xlfn.COMPOUNDVALUE(924)</f>
        <v>0.022546143051853443</v>
      </c>
      <c r="R160" s="67">
        <f>_xlfn.COMPOUNDVALUE(575)</f>
        <v>0.025937145020825444</v>
      </c>
      <c r="S160" s="64">
        <f>_xlfn.COMPOUNDVALUE(801)</f>
        <v>0.029618014428771402</v>
      </c>
      <c r="T160" s="65">
        <f>_xlfn.COMPOUNDVALUE(1006)</f>
        <v>0.03267381867707935</v>
      </c>
      <c r="U160" s="66">
        <f>_xlfn.COMPOUNDVALUE(780)</f>
        <v>0.03516216832253999</v>
      </c>
      <c r="V160" s="67">
        <f>_xlfn.COMPOUNDVALUE(642)</f>
        <v>0.03998522547933246</v>
      </c>
      <c r="W160" s="64">
        <f>_xlfn.COMPOUNDVALUE(881)</f>
        <v>0.04890100642902824</v>
      </c>
      <c r="X160" s="67">
        <f>_xlfn.COMPOUNDVALUE(874)</f>
        <v>0.062276243982890625</v>
      </c>
    </row>
    <row r="161" spans="1:24" ht="14.25">
      <c r="A161" s="9" t="e">
        <f t="shared" si="3"/>
        <v>#REF!</v>
      </c>
      <c r="D161" s="210" t="s">
        <v>27</v>
      </c>
      <c r="E161" s="25" t="s">
        <v>10</v>
      </c>
      <c r="F161" s="25"/>
      <c r="G161" s="51">
        <v>0</v>
      </c>
      <c r="H161" s="52">
        <v>0</v>
      </c>
      <c r="I161" s="53">
        <v>0</v>
      </c>
      <c r="J161" s="54">
        <v>0</v>
      </c>
      <c r="K161" s="51">
        <v>0</v>
      </c>
      <c r="L161" s="52">
        <v>0</v>
      </c>
      <c r="M161" s="53">
        <v>0</v>
      </c>
      <c r="N161" s="54">
        <v>0</v>
      </c>
      <c r="O161" s="51">
        <v>0</v>
      </c>
      <c r="P161" s="52">
        <v>0</v>
      </c>
      <c r="Q161" s="53">
        <v>0</v>
      </c>
      <c r="R161" s="54">
        <v>0</v>
      </c>
      <c r="S161" s="51">
        <v>0</v>
      </c>
      <c r="T161" s="52">
        <v>0</v>
      </c>
      <c r="U161" s="243">
        <v>0</v>
      </c>
      <c r="V161" s="54">
        <v>0</v>
      </c>
      <c r="W161" s="51">
        <v>0</v>
      </c>
      <c r="X161" s="54">
        <v>0</v>
      </c>
    </row>
    <row r="162" spans="1:24" ht="14.25">
      <c r="A162" s="9" t="e">
        <f t="shared" si="3"/>
        <v>#REF!</v>
      </c>
      <c r="D162" s="210" t="s">
        <v>26</v>
      </c>
      <c r="E162" s="25" t="s">
        <v>9</v>
      </c>
      <c r="F162" s="25"/>
      <c r="G162" s="51">
        <v>0</v>
      </c>
      <c r="H162" s="52">
        <v>0</v>
      </c>
      <c r="I162" s="53">
        <v>0</v>
      </c>
      <c r="J162" s="54">
        <v>0</v>
      </c>
      <c r="K162" s="51">
        <v>0</v>
      </c>
      <c r="L162" s="52">
        <v>0</v>
      </c>
      <c r="M162" s="53">
        <f>_xlfn.COMPOUNDVALUE(742)</f>
        <v>463</v>
      </c>
      <c r="N162" s="54">
        <f>_xlfn.COMPOUNDVALUE(684)</f>
        <v>1273</v>
      </c>
      <c r="O162" s="51">
        <f>_xlfn.COMPOUNDVALUE(974)</f>
        <v>1934</v>
      </c>
      <c r="P162" s="52">
        <f>_xlfn.COMPOUNDVALUE(845)</f>
        <v>2375</v>
      </c>
      <c r="Q162" s="53">
        <f>_xlfn.COMPOUNDVALUE(928)</f>
        <v>3358</v>
      </c>
      <c r="R162" s="54">
        <f>_xlfn.COMPOUNDVALUE(579)</f>
        <v>3836</v>
      </c>
      <c r="S162" s="51">
        <f>_xlfn.COMPOUNDVALUE(796)</f>
        <v>4401</v>
      </c>
      <c r="T162" s="52">
        <f>_xlfn.COMPOUNDVALUE(993)</f>
        <v>4870</v>
      </c>
      <c r="U162" s="53">
        <f>_xlfn.COMPOUNDVALUE(786)</f>
        <v>5245</v>
      </c>
      <c r="V162" s="54">
        <f>_xlfn.COMPOUNDVALUE(652)</f>
        <v>5954</v>
      </c>
      <c r="W162" s="51">
        <f>_xlfn.COMPOUNDVALUE(890)</f>
        <v>7264</v>
      </c>
      <c r="X162" s="54">
        <f>_xlfn.COMPOUNDVALUE(869)</f>
        <v>9289</v>
      </c>
    </row>
    <row r="163" spans="1:24" ht="9.75" customHeight="1" thickBot="1">
      <c r="A163" s="9" t="e">
        <f t="shared" si="3"/>
        <v>#REF!</v>
      </c>
      <c r="D163" s="210"/>
      <c r="E163" s="25"/>
      <c r="F163" s="25"/>
      <c r="G163" s="51"/>
      <c r="H163" s="52"/>
      <c r="I163" s="53"/>
      <c r="J163" s="54"/>
      <c r="K163" s="51"/>
      <c r="L163" s="52"/>
      <c r="M163" s="53"/>
      <c r="N163" s="54"/>
      <c r="O163" s="51"/>
      <c r="P163" s="52"/>
      <c r="Q163" s="53"/>
      <c r="R163" s="54"/>
      <c r="S163" s="51"/>
      <c r="T163" s="52"/>
      <c r="U163" s="53"/>
      <c r="V163" s="54"/>
      <c r="W163" s="51"/>
      <c r="X163" s="54"/>
    </row>
    <row r="164" spans="1:24" ht="15" thickBot="1">
      <c r="A164" s="9" t="e">
        <f t="shared" si="3"/>
        <v>#REF!</v>
      </c>
      <c r="C164" s="59"/>
      <c r="D164" s="211" t="s">
        <v>188</v>
      </c>
      <c r="E164" s="25"/>
      <c r="F164" s="25"/>
      <c r="G164" s="31">
        <f>_xlfn.COMPOUNDVALUE(320)</f>
        <v>52472</v>
      </c>
      <c r="H164" s="32">
        <f>_xlfn.COMPOUNDVALUE(319)</f>
        <v>54630</v>
      </c>
      <c r="I164" s="33">
        <f>_xlfn.COMPOUNDVALUE(318)</f>
        <v>61363</v>
      </c>
      <c r="J164" s="34">
        <f>_xlfn.COMPOUNDVALUE(317)</f>
        <v>67387</v>
      </c>
      <c r="K164" s="31">
        <f>_xlfn.COMPOUNDVALUE(316)</f>
        <v>59417</v>
      </c>
      <c r="L164" s="32">
        <f>_xlfn.COMPOUNDVALUE(315)</f>
        <v>60213</v>
      </c>
      <c r="M164" s="33">
        <f>_xlfn.COMPOUNDVALUE(314)</f>
        <v>60801</v>
      </c>
      <c r="N164" s="34">
        <f>_xlfn.COMPOUNDVALUE(313)</f>
        <v>61111</v>
      </c>
      <c r="O164" s="31">
        <f>_xlfn.COMPOUNDVALUE(312)</f>
        <v>61999</v>
      </c>
      <c r="P164" s="32">
        <f>_xlfn.COMPOUNDVALUE(311)</f>
        <v>64065</v>
      </c>
      <c r="Q164" s="33">
        <f>_xlfn.COMPOUNDVALUE(310)</f>
        <v>62513</v>
      </c>
      <c r="R164" s="34">
        <f>_xlfn.COMPOUNDVALUE(309)</f>
        <v>62678</v>
      </c>
      <c r="S164" s="31">
        <f>_xlfn.COMPOUNDVALUE(308)</f>
        <v>61645</v>
      </c>
      <c r="T164" s="32">
        <f>_xlfn.COMPOUNDVALUE(307)</f>
        <v>67286</v>
      </c>
      <c r="U164" s="33">
        <f>_xlfn.COMPOUNDVALUE(359)</f>
        <v>70209</v>
      </c>
      <c r="V164" s="34">
        <f>_xlfn.COMPOUNDVALUE(473)</f>
        <v>73496</v>
      </c>
      <c r="W164" s="31">
        <f>_xlfn.COMPOUNDVALUE(513)</f>
        <v>74343</v>
      </c>
      <c r="X164" s="34">
        <f>_xlfn.COMPOUNDVALUE(541)</f>
        <v>75965</v>
      </c>
    </row>
    <row r="165" spans="1:24" ht="14.25">
      <c r="A165" s="9" t="e">
        <f t="shared" si="3"/>
        <v>#REF!</v>
      </c>
      <c r="D165" s="215" t="s">
        <v>67</v>
      </c>
      <c r="E165" s="25"/>
      <c r="F165" s="25"/>
      <c r="G165" s="64">
        <f>_xlfn.COMPOUNDVALUE(320)</f>
        <v>0.44855914309405964</v>
      </c>
      <c r="H165" s="65">
        <f>_xlfn.COMPOUNDVALUE(319)</f>
        <v>0.4407066795740561</v>
      </c>
      <c r="I165" s="66">
        <f>_xlfn.COMPOUNDVALUE(318)</f>
        <v>0.4784490152353923</v>
      </c>
      <c r="J165" s="67">
        <f>_xlfn.COMPOUNDVALUE(317)</f>
        <v>0.515143870592912</v>
      </c>
      <c r="K165" s="64">
        <f>_xlfn.COMPOUNDVALUE(316)</f>
        <v>0.4466704755604336</v>
      </c>
      <c r="L165" s="65">
        <f>_xlfn.COMPOUNDVALUE(315)</f>
        <v>0.44269707530107194</v>
      </c>
      <c r="M165" s="66">
        <f>_xlfn.COMPOUNDVALUE(314)</f>
        <v>0.44051034602677797</v>
      </c>
      <c r="N165" s="67">
        <f>_xlfn.COMPOUNDVALUE(313)</f>
        <v>0.4378488367927435</v>
      </c>
      <c r="O165" s="64">
        <f>_xlfn.COMPOUNDVALUE(312)</f>
        <v>0.4472070746415073</v>
      </c>
      <c r="P165" s="65">
        <f>_xlfn.COMPOUNDVALUE(311)</f>
        <v>0.4601940910690812</v>
      </c>
      <c r="Q165" s="66">
        <f>_xlfn.COMPOUNDVALUE(310)</f>
        <v>0.44651504978500306</v>
      </c>
      <c r="R165" s="67">
        <f>_xlfn.COMPOUNDVALUE(309)</f>
        <v>0.44969149088821925</v>
      </c>
      <c r="S165" s="64">
        <f>_xlfn.COMPOUNDVALUE(308)</f>
        <v>0.4390513158363306</v>
      </c>
      <c r="T165" s="65">
        <f>_xlfn.COMPOUNDVALUE(307)</f>
        <v>0.47691816989757946</v>
      </c>
      <c r="U165" s="66">
        <f>_xlfn.COMPOUNDVALUE(359)</f>
        <v>0.49663294899908045</v>
      </c>
      <c r="V165" s="67">
        <f>_xlfn.COMPOUNDVALUE(473)</f>
        <v>0.5197369351531009</v>
      </c>
      <c r="W165" s="64">
        <f>_xlfn.COMPOUNDVALUE(513)</f>
        <v>0.5259162840710532</v>
      </c>
      <c r="X165" s="67">
        <f>_xlfn.COMPOUNDVALUE(541)</f>
        <v>0.535153222965833</v>
      </c>
    </row>
    <row r="166" spans="1:24" s="22" customFormat="1" ht="5.25" customHeight="1" thickBot="1">
      <c r="A166" s="9" t="e">
        <f t="shared" si="3"/>
        <v>#REF!</v>
      </c>
      <c r="C166" s="110"/>
      <c r="D166" s="153"/>
      <c r="E166" s="125"/>
      <c r="F166" s="125"/>
      <c r="G166" s="111"/>
      <c r="H166" s="112"/>
      <c r="I166" s="113"/>
      <c r="J166" s="114"/>
      <c r="K166" s="111"/>
      <c r="L166" s="112"/>
      <c r="M166" s="113"/>
      <c r="N166" s="114"/>
      <c r="O166" s="111"/>
      <c r="P166" s="112"/>
      <c r="Q166" s="113"/>
      <c r="R166" s="114"/>
      <c r="S166" s="111"/>
      <c r="T166" s="112"/>
      <c r="U166" s="113"/>
      <c r="V166" s="114"/>
      <c r="W166" s="111"/>
      <c r="X166" s="114"/>
    </row>
    <row r="167" spans="1:24" ht="15" thickBot="1">
      <c r="A167" s="9" t="e">
        <f t="shared" si="3"/>
        <v>#REF!</v>
      </c>
      <c r="C167" s="60"/>
      <c r="D167" s="132" t="s">
        <v>23</v>
      </c>
      <c r="E167" s="25"/>
      <c r="F167" s="25"/>
      <c r="G167" s="154">
        <f>_xlfn.COMPOUNDVALUE(939)</f>
        <v>37.544605930170746</v>
      </c>
      <c r="H167" s="155">
        <f>_xlfn.COMPOUNDVALUE(1035)</f>
        <v>43.012459137742034</v>
      </c>
      <c r="I167" s="156">
        <f>_xlfn.COMPOUNDVALUE(1063)</f>
        <v>42.41402320626791</v>
      </c>
      <c r="J167" s="157">
        <f>_xlfn.COMPOUNDVALUE(1088)</f>
        <v>42.44180721973653</v>
      </c>
      <c r="K167" s="154">
        <f>_xlfn.COMPOUNDVALUE(750)</f>
        <v>42.149109863728214</v>
      </c>
      <c r="L167" s="155">
        <f>_xlfn.COMPOUNDVALUE(815)</f>
        <v>42.789444192663524</v>
      </c>
      <c r="M167" s="156">
        <f>_xlfn.COMPOUNDVALUE(729)</f>
        <v>42.943024325171045</v>
      </c>
      <c r="N167" s="157">
        <f>_xlfn.COMPOUNDVALUE(681)</f>
        <v>41.63480622904523</v>
      </c>
      <c r="O167" s="154">
        <f>_xlfn.COMPOUNDVALUE(971)</f>
        <v>43.11888711345051</v>
      </c>
      <c r="P167" s="155">
        <f>_xlfn.COMPOUNDVALUE(835)</f>
        <v>43.14122048982757</v>
      </c>
      <c r="Q167" s="156">
        <f>_xlfn.COMPOUNDVALUE(918)</f>
        <v>42.53977915933951</v>
      </c>
      <c r="R167" s="157">
        <f>_xlfn.COMPOUNDVALUE(578)</f>
        <v>42.79782411103812</v>
      </c>
      <c r="S167" s="154">
        <f>_xlfn.COMPOUNDVALUE(795)</f>
        <v>42.98261494563017</v>
      </c>
      <c r="T167" s="155">
        <f>_xlfn.COMPOUNDVALUE(991)</f>
        <v>42.878415608064756</v>
      </c>
      <c r="U167" s="156">
        <f>_xlfn.COMPOUNDVALUE(774)</f>
        <v>42.77158814948946</v>
      </c>
      <c r="V167" s="157">
        <f>_xlfn.COMPOUNDVALUE(648)</f>
        <v>42.058360256448964</v>
      </c>
      <c r="W167" s="154">
        <f>_xlfn.COMPOUNDVALUE(886)</f>
        <v>42.66567234829383</v>
      </c>
      <c r="X167" s="157">
        <f>_xlfn.COMPOUNDVALUE(860)</f>
        <v>41.99750086495602</v>
      </c>
    </row>
    <row r="168" spans="1:24" ht="15" thickBot="1">
      <c r="A168" s="9" t="e">
        <f t="shared" si="3"/>
        <v>#REF!</v>
      </c>
      <c r="D168" s="24"/>
      <c r="E168" s="25"/>
      <c r="F168" s="25"/>
      <c r="G168" s="25"/>
      <c r="H168" s="25"/>
      <c r="I168" s="25"/>
      <c r="J168" s="25"/>
      <c r="K168" s="25"/>
      <c r="L168" s="25"/>
      <c r="M168" s="25"/>
      <c r="N168" s="25"/>
      <c r="O168" s="25"/>
      <c r="P168" s="25"/>
      <c r="Q168" s="25"/>
      <c r="R168" s="25"/>
      <c r="S168" s="25"/>
      <c r="T168" s="25"/>
      <c r="U168" s="25"/>
      <c r="V168" s="25"/>
      <c r="W168" s="25"/>
      <c r="X168" s="26"/>
    </row>
    <row r="169" spans="1:24" ht="20.25" thickBot="1">
      <c r="A169" s="9" t="e">
        <f t="shared" si="3"/>
        <v>#REF!</v>
      </c>
      <c r="C169" s="10"/>
      <c r="D169" s="1" t="s">
        <v>68</v>
      </c>
      <c r="E169" s="252"/>
      <c r="F169" s="252"/>
      <c r="G169" s="252"/>
      <c r="H169" s="252"/>
      <c r="I169" s="252"/>
      <c r="J169" s="252"/>
      <c r="K169" s="252"/>
      <c r="L169" s="252"/>
      <c r="M169" s="252"/>
      <c r="N169" s="252"/>
      <c r="O169" s="252"/>
      <c r="P169" s="252"/>
      <c r="Q169" s="252"/>
      <c r="R169" s="252"/>
      <c r="S169" s="252"/>
      <c r="T169" s="252"/>
      <c r="U169" s="252"/>
      <c r="V169" s="252"/>
      <c r="W169" s="252"/>
      <c r="X169" s="253"/>
    </row>
    <row r="170" spans="1:24" ht="15" thickBot="1">
      <c r="A170" s="9" t="e">
        <f t="shared" si="3"/>
        <v>#REF!</v>
      </c>
      <c r="C170" s="60"/>
      <c r="D170" s="115" t="s">
        <v>201</v>
      </c>
      <c r="E170" s="25"/>
      <c r="F170" s="25"/>
      <c r="G170" s="117">
        <v>11000301</v>
      </c>
      <c r="H170" s="118">
        <f>_xlfn.COMPOUNDVALUE(1039)</f>
        <v>10845052</v>
      </c>
      <c r="I170" s="119">
        <f>_xlfn.COMPOUNDVALUE(1067)</f>
        <v>10210222</v>
      </c>
      <c r="J170" s="120">
        <f>_xlfn.COMPOUNDVALUE(1083)</f>
        <v>11827664</v>
      </c>
      <c r="K170" s="117">
        <f>_xlfn.COMPOUNDVALUE(746)</f>
        <v>10413175</v>
      </c>
      <c r="L170" s="118">
        <f>_xlfn.COMPOUNDVALUE(821)</f>
        <v>10552179</v>
      </c>
      <c r="M170" s="119">
        <f>_xlfn.COMPOUNDVALUE(735)</f>
        <v>10058442</v>
      </c>
      <c r="N170" s="120">
        <f>_xlfn.COMPOUNDVALUE(674)</f>
        <v>11803092</v>
      </c>
      <c r="O170" s="117">
        <f>_xlfn.COMPOUNDVALUE(968)</f>
        <v>10517432</v>
      </c>
      <c r="P170" s="118">
        <f>_xlfn.COMPOUNDVALUE(842)</f>
        <v>10274740</v>
      </c>
      <c r="Q170" s="119">
        <f>_xlfn.COMPOUNDVALUE(923)</f>
        <v>9567850</v>
      </c>
      <c r="R170" s="120">
        <f>_xlfn.COMPOUNDVALUE(572)</f>
        <v>11395951</v>
      </c>
      <c r="S170" s="117">
        <f>_xlfn.COMPOUNDVALUE(792)</f>
        <v>11055968.20466</v>
      </c>
      <c r="T170" s="118">
        <f>_xlfn.COMPOUNDVALUE(997)</f>
        <v>10094027</v>
      </c>
      <c r="U170" s="119">
        <f>_xlfn.COMPOUNDVALUE(779)</f>
        <v>9397979</v>
      </c>
      <c r="V170" s="120">
        <f>_xlfn.COMPOUNDVALUE(641)</f>
        <v>10895581</v>
      </c>
      <c r="W170" s="118">
        <f>_xlfn.COMPOUNDVALUE(884)</f>
        <v>9793015</v>
      </c>
      <c r="X170" s="120">
        <f>_xlfn.COMPOUNDVALUE(864)</f>
        <v>10247873</v>
      </c>
    </row>
    <row r="171" spans="1:24" ht="14.25">
      <c r="A171" s="9" t="e">
        <f t="shared" si="3"/>
        <v>#REF!</v>
      </c>
      <c r="D171" s="213" t="s">
        <v>206</v>
      </c>
      <c r="E171" s="25"/>
      <c r="F171" s="25"/>
      <c r="G171" s="47">
        <v>3664531</v>
      </c>
      <c r="H171" s="48">
        <f>_xlfn.COMPOUNDVALUE(1039)</f>
        <v>4211574</v>
      </c>
      <c r="I171" s="49">
        <f>_xlfn.COMPOUNDVALUE(1067)</f>
        <v>3933828</v>
      </c>
      <c r="J171" s="50">
        <f>_xlfn.COMPOUNDVALUE(1083)</f>
        <v>5432676</v>
      </c>
      <c r="K171" s="47">
        <f>_xlfn.COMPOUNDVALUE(746)</f>
        <v>3713545</v>
      </c>
      <c r="L171" s="48">
        <f>_xlfn.COMPOUNDVALUE(821)</f>
        <v>3980680</v>
      </c>
      <c r="M171" s="49">
        <f>_xlfn.COMPOUNDVALUE(735)</f>
        <v>3968651</v>
      </c>
      <c r="N171" s="50">
        <f>_xlfn.COMPOUNDVALUE(674)</f>
        <v>5483778</v>
      </c>
      <c r="O171" s="47">
        <f>_xlfn.COMPOUNDVALUE(968)</f>
        <v>3738564</v>
      </c>
      <c r="P171" s="48">
        <f>_xlfn.COMPOUNDVALUE(842)</f>
        <v>4180725</v>
      </c>
      <c r="Q171" s="49">
        <f>_xlfn.COMPOUNDVALUE(923)</f>
        <v>3938312</v>
      </c>
      <c r="R171" s="50">
        <f>_xlfn.COMPOUNDVALUE(572)</f>
        <v>5628956</v>
      </c>
      <c r="S171" s="47">
        <f>_xlfn.COMPOUNDVALUE(792)</f>
        <v>4220933.20466</v>
      </c>
      <c r="T171" s="48">
        <f>_xlfn.COMPOUNDVALUE(997)</f>
        <v>3882973</v>
      </c>
      <c r="U171" s="49">
        <f>_xlfn.COMPOUNDVALUE(779)</f>
        <v>3640452</v>
      </c>
      <c r="V171" s="50">
        <f>_xlfn.COMPOUNDVALUE(641)</f>
        <v>4791513</v>
      </c>
      <c r="W171" s="48">
        <f>_xlfn.COMPOUNDVALUE(884)</f>
        <v>3314283</v>
      </c>
      <c r="X171" s="50">
        <f>_xlfn.COMPOUNDVALUE(864)</f>
        <v>3567618</v>
      </c>
    </row>
    <row r="172" spans="1:24" ht="14.25">
      <c r="A172" s="9" t="e">
        <f t="shared" si="3"/>
        <v>#REF!</v>
      </c>
      <c r="D172" s="210" t="s">
        <v>202</v>
      </c>
      <c r="E172" s="25" t="s">
        <v>69</v>
      </c>
      <c r="F172" s="25"/>
      <c r="G172" s="51">
        <v>1927048</v>
      </c>
      <c r="H172" s="52">
        <f>_xlfn.COMPOUNDVALUE(1043)</f>
        <v>2395836</v>
      </c>
      <c r="I172" s="53">
        <f>_xlfn.COMPOUNDVALUE(1057)</f>
        <v>2093904</v>
      </c>
      <c r="J172" s="54">
        <f>_xlfn.COMPOUNDVALUE(1081)</f>
        <v>3008301</v>
      </c>
      <c r="K172" s="51">
        <f>_xlfn.COMPOUNDVALUE(753)</f>
        <v>2100580</v>
      </c>
      <c r="L172" s="52">
        <f>_xlfn.COMPOUNDVALUE(823)</f>
        <v>2157714</v>
      </c>
      <c r="M172" s="53">
        <f>_xlfn.COMPOUNDVALUE(725)</f>
        <v>1972962</v>
      </c>
      <c r="N172" s="54">
        <f>_xlfn.COMPOUNDVALUE(670)</f>
        <v>2974673</v>
      </c>
      <c r="O172" s="51">
        <f>_xlfn.COMPOUNDVALUE(973)</f>
        <v>2102620</v>
      </c>
      <c r="P172" s="52">
        <f>_xlfn.COMPOUNDVALUE(844)</f>
        <v>2461311</v>
      </c>
      <c r="Q172" s="53">
        <f>_xlfn.COMPOUNDVALUE(913)</f>
        <v>2231051</v>
      </c>
      <c r="R172" s="54">
        <f>_xlfn.COMPOUNDVALUE(569)</f>
        <v>3277274</v>
      </c>
      <c r="S172" s="51">
        <f>_xlfn.COMPOUNDVALUE(799)</f>
        <v>2645899.9997999994</v>
      </c>
      <c r="T172" s="52">
        <f>_xlfn.COMPOUNDVALUE(999)</f>
        <v>2240382</v>
      </c>
      <c r="U172" s="53">
        <f>_xlfn.COMPOUNDVALUE(769)</f>
        <v>1958568</v>
      </c>
      <c r="V172" s="54">
        <f>_xlfn.COMPOUNDVALUE(638)</f>
        <v>2585640</v>
      </c>
      <c r="W172" s="52">
        <f>_xlfn.COMPOUNDVALUE(889)</f>
        <v>1896495</v>
      </c>
      <c r="X172" s="54">
        <f>_xlfn.COMPOUNDVALUE(868)</f>
        <v>1972431</v>
      </c>
    </row>
    <row r="173" spans="1:24" ht="14.25">
      <c r="A173" s="9" t="e">
        <f t="shared" si="3"/>
        <v>#REF!</v>
      </c>
      <c r="D173" s="210" t="s">
        <v>70</v>
      </c>
      <c r="E173" s="25" t="s">
        <v>71</v>
      </c>
      <c r="F173" s="25"/>
      <c r="G173" s="51">
        <v>419954</v>
      </c>
      <c r="H173" s="52">
        <f>_xlfn.COMPOUNDVALUE(1037)</f>
        <v>585627</v>
      </c>
      <c r="I173" s="53">
        <f>_xlfn.COMPOUNDVALUE(1055)</f>
        <v>702946</v>
      </c>
      <c r="J173" s="54">
        <f>_xlfn.COMPOUNDVALUE(1085)</f>
        <v>872717</v>
      </c>
      <c r="K173" s="51">
        <f>_xlfn.COMPOUNDVALUE(754)</f>
        <v>366198</v>
      </c>
      <c r="L173" s="52">
        <f>_xlfn.COMPOUNDVALUE(819)</f>
        <v>549943</v>
      </c>
      <c r="M173" s="53">
        <f>_xlfn.COMPOUNDVALUE(723)</f>
        <v>874260</v>
      </c>
      <c r="N173" s="54">
        <f>_xlfn.COMPOUNDVALUE(678)</f>
        <v>1038478</v>
      </c>
      <c r="O173" s="51">
        <f>_xlfn.COMPOUNDVALUE(977)</f>
        <v>378080</v>
      </c>
      <c r="P173" s="52">
        <f>_xlfn.COMPOUNDVALUE(838)</f>
        <v>541917</v>
      </c>
      <c r="Q173" s="53">
        <f>_xlfn.COMPOUNDVALUE(910)</f>
        <v>624924</v>
      </c>
      <c r="R173" s="54">
        <f>_xlfn.COMPOUNDVALUE(574)</f>
        <v>825045</v>
      </c>
      <c r="S173" s="51">
        <f>_xlfn.COMPOUNDVALUE(800)</f>
        <v>371856.20486</v>
      </c>
      <c r="T173" s="52">
        <f>_xlfn.COMPOUNDVALUE(995)</f>
        <v>529833</v>
      </c>
      <c r="U173" s="53">
        <f>_xlfn.COMPOUNDVALUE(767)</f>
        <v>620100</v>
      </c>
      <c r="V173" s="54">
        <f>_xlfn.COMPOUNDVALUE(644)</f>
        <v>768480</v>
      </c>
      <c r="W173" s="52">
        <f>_xlfn.COMPOUNDVALUE(892)</f>
        <v>325945</v>
      </c>
      <c r="X173" s="54">
        <f>_xlfn.COMPOUNDVALUE(862)</f>
        <v>533331</v>
      </c>
    </row>
    <row r="174" spans="1:24" ht="14.25">
      <c r="A174" s="9" t="e">
        <f t="shared" si="3"/>
        <v>#REF!</v>
      </c>
      <c r="D174" s="210" t="s">
        <v>72</v>
      </c>
      <c r="E174" s="25" t="s">
        <v>73</v>
      </c>
      <c r="F174" s="25"/>
      <c r="G174" s="51">
        <v>1317529</v>
      </c>
      <c r="H174" s="52">
        <f>_xlfn.COMPOUNDVALUE(1036)</f>
        <v>1230111</v>
      </c>
      <c r="I174" s="53">
        <f>_xlfn.COMPOUNDVALUE(1062)</f>
        <v>1136978</v>
      </c>
      <c r="J174" s="54">
        <f>_xlfn.COMPOUNDVALUE(1087)</f>
        <v>1551658</v>
      </c>
      <c r="K174" s="51">
        <f>_xlfn.COMPOUNDVALUE(749)</f>
        <v>1246767</v>
      </c>
      <c r="L174" s="52">
        <f>_xlfn.COMPOUNDVALUE(813)</f>
        <v>1273023</v>
      </c>
      <c r="M174" s="53">
        <f>_xlfn.COMPOUNDVALUE(728)</f>
        <v>1121429</v>
      </c>
      <c r="N174" s="54">
        <f>_xlfn.COMPOUNDVALUE(680)</f>
        <v>1470627</v>
      </c>
      <c r="O174" s="51">
        <f>_xlfn.COMPOUNDVALUE(970)</f>
        <v>1257864</v>
      </c>
      <c r="P174" s="52">
        <f>_xlfn.COMPOUNDVALUE(834)</f>
        <v>1177497</v>
      </c>
      <c r="Q174" s="53">
        <f>_xlfn.COMPOUNDVALUE(917)</f>
        <v>1082337</v>
      </c>
      <c r="R174" s="54">
        <f>_xlfn.COMPOUNDVALUE(577)</f>
        <v>1526637</v>
      </c>
      <c r="S174" s="51">
        <f>_xlfn.COMPOUNDVALUE(794)</f>
        <v>1203177</v>
      </c>
      <c r="T174" s="52">
        <f>_xlfn.COMPOUNDVALUE(992)</f>
        <v>1112758</v>
      </c>
      <c r="U174" s="53">
        <f>_xlfn.COMPOUNDVALUE(773)</f>
        <v>1061784</v>
      </c>
      <c r="V174" s="54">
        <f>_xlfn.COMPOUNDVALUE(647)</f>
        <v>1437393</v>
      </c>
      <c r="W174" s="52">
        <f>_xlfn.COMPOUNDVALUE(885)</f>
        <v>1091843</v>
      </c>
      <c r="X174" s="54">
        <f>_xlfn.COMPOUNDVALUE(861)</f>
        <v>1061856</v>
      </c>
    </row>
    <row r="175" spans="1:24" ht="6" customHeight="1">
      <c r="A175" s="9" t="e">
        <f t="shared" si="3"/>
        <v>#REF!</v>
      </c>
      <c r="D175" s="18"/>
      <c r="E175" s="25"/>
      <c r="F175" s="25"/>
      <c r="G175" s="24"/>
      <c r="H175" s="25"/>
      <c r="I175" s="25"/>
      <c r="J175" s="26"/>
      <c r="K175" s="24"/>
      <c r="L175" s="25"/>
      <c r="M175" s="25"/>
      <c r="N175" s="26"/>
      <c r="O175" s="24"/>
      <c r="P175" s="25"/>
      <c r="Q175" s="25"/>
      <c r="R175" s="26"/>
      <c r="S175" s="24"/>
      <c r="T175" s="25"/>
      <c r="U175" s="25"/>
      <c r="V175" s="26"/>
      <c r="W175" s="25"/>
      <c r="X175" s="26"/>
    </row>
    <row r="176" spans="1:24" ht="14.25">
      <c r="A176" s="9" t="e">
        <f t="shared" si="3"/>
        <v>#REF!</v>
      </c>
      <c r="D176" s="213" t="s">
        <v>205</v>
      </c>
      <c r="E176" s="25"/>
      <c r="F176" s="25"/>
      <c r="G176" s="47">
        <f>_xlfn.COMPOUNDVALUE(98)</f>
        <v>7054812</v>
      </c>
      <c r="H176" s="48">
        <f>_xlfn.COMPOUNDVALUE(97)</f>
        <v>6335919</v>
      </c>
      <c r="I176" s="49">
        <f>_xlfn.COMPOUNDVALUE(96)</f>
        <v>5960162</v>
      </c>
      <c r="J176" s="50">
        <f>_xlfn.COMPOUNDVALUE(95)</f>
        <v>6056738</v>
      </c>
      <c r="K176" s="47">
        <f>_xlfn.COMPOUNDVALUE(94)</f>
        <v>6389486</v>
      </c>
      <c r="L176" s="48">
        <f>_xlfn.COMPOUNDVALUE(93)</f>
        <v>6246214</v>
      </c>
      <c r="M176" s="49">
        <f>_xlfn.COMPOUNDVALUE(92)</f>
        <v>5779674</v>
      </c>
      <c r="N176" s="50">
        <f>_xlfn.COMPOUNDVALUE(91)</f>
        <v>5985242</v>
      </c>
      <c r="O176" s="47">
        <f>_xlfn.COMPOUNDVALUE(90)</f>
        <v>6443836</v>
      </c>
      <c r="P176" s="48">
        <f>_xlfn.COMPOUNDVALUE(89)</f>
        <v>5747750</v>
      </c>
      <c r="Q176" s="49">
        <f>_xlfn.COMPOUNDVALUE(88)</f>
        <v>5323359</v>
      </c>
      <c r="R176" s="50">
        <f>_xlfn.COMPOUNDVALUE(87)</f>
        <v>5415413</v>
      </c>
      <c r="S176" s="47">
        <f>_xlfn.COMPOUNDVALUE(86)</f>
        <v>6502999</v>
      </c>
      <c r="T176" s="48">
        <f>_xlfn.COMPOUNDVALUE(85)</f>
        <v>5836165</v>
      </c>
      <c r="U176" s="49">
        <f>_xlfn.COMPOUNDVALUE(366)</f>
        <v>5408742</v>
      </c>
      <c r="V176" s="50">
        <f>_xlfn.COMPOUNDVALUE(480)</f>
        <v>5722443</v>
      </c>
      <c r="W176" s="48">
        <f>_xlfn.COMPOUNDVALUE(509)</f>
        <v>6105770</v>
      </c>
      <c r="X176" s="50">
        <f>_xlfn.COMPOUNDVALUE(544)</f>
        <v>6271469</v>
      </c>
    </row>
    <row r="177" spans="1:24" ht="14.25">
      <c r="A177" s="9" t="e">
        <f t="shared" si="3"/>
        <v>#REF!</v>
      </c>
      <c r="D177" s="210" t="s">
        <v>202</v>
      </c>
      <c r="E177" s="25" t="s">
        <v>69</v>
      </c>
      <c r="F177" s="25"/>
      <c r="G177" s="51">
        <f>_xlfn.COMPOUNDVALUE(84)</f>
        <v>6943788</v>
      </c>
      <c r="H177" s="52">
        <f>_xlfn.COMPOUNDVALUE(83)</f>
        <v>6246886</v>
      </c>
      <c r="I177" s="53">
        <f>_xlfn.COMPOUNDVALUE(82)</f>
        <v>5779652</v>
      </c>
      <c r="J177" s="54">
        <f>_xlfn.COMPOUNDVALUE(81)</f>
        <v>5920591</v>
      </c>
      <c r="K177" s="51">
        <f>_xlfn.COMPOUNDVALUE(80)</f>
        <v>6266574</v>
      </c>
      <c r="L177" s="52">
        <f>_xlfn.COMPOUNDVALUE(79)</f>
        <v>6127400</v>
      </c>
      <c r="M177" s="53">
        <f>_xlfn.COMPOUNDVALUE(78)</f>
        <v>5688376</v>
      </c>
      <c r="N177" s="54">
        <f>_xlfn.COMPOUNDVALUE(77)</f>
        <v>5898816</v>
      </c>
      <c r="O177" s="51">
        <f>_xlfn.COMPOUNDVALUE(76)</f>
        <v>6358864</v>
      </c>
      <c r="P177" s="52">
        <f>_xlfn.COMPOUNDVALUE(75)</f>
        <v>5665946</v>
      </c>
      <c r="Q177" s="53">
        <f>_xlfn.COMPOUNDVALUE(74)</f>
        <v>5244910</v>
      </c>
      <c r="R177" s="54">
        <f>_xlfn.COMPOUNDVALUE(73)</f>
        <v>5333563</v>
      </c>
      <c r="S177" s="51">
        <f>_xlfn.COMPOUNDVALUE(72)</f>
        <v>6429777</v>
      </c>
      <c r="T177" s="52">
        <f>_xlfn.COMPOUNDVALUE(71)</f>
        <v>5769838</v>
      </c>
      <c r="U177" s="53">
        <f>_xlfn.COMPOUNDVALUE(368)</f>
        <v>5333203</v>
      </c>
      <c r="V177" s="54">
        <f>_xlfn.COMPOUNDVALUE(479)</f>
        <v>5634175</v>
      </c>
      <c r="W177" s="52">
        <f>_xlfn.COMPOUNDVALUE(511)</f>
        <v>6053547</v>
      </c>
      <c r="X177" s="54">
        <f>_xlfn.COMPOUNDVALUE(531)</f>
        <v>6212263</v>
      </c>
    </row>
    <row r="178" spans="1:24" ht="14.25">
      <c r="A178" s="9" t="e">
        <f t="shared" si="3"/>
        <v>#REF!</v>
      </c>
      <c r="D178" s="210" t="s">
        <v>70</v>
      </c>
      <c r="E178" s="25" t="s">
        <v>71</v>
      </c>
      <c r="F178" s="25"/>
      <c r="G178" s="51">
        <f>_xlfn.COMPOUNDVALUE(70)</f>
        <v>111024</v>
      </c>
      <c r="H178" s="52">
        <f>_xlfn.COMPOUNDVALUE(69)</f>
        <v>89033</v>
      </c>
      <c r="I178" s="53">
        <f>_xlfn.COMPOUNDVALUE(68)</f>
        <v>180510</v>
      </c>
      <c r="J178" s="54">
        <f>_xlfn.COMPOUNDVALUE(67)</f>
        <v>136147</v>
      </c>
      <c r="K178" s="51">
        <f>_xlfn.COMPOUNDVALUE(66)</f>
        <v>122912</v>
      </c>
      <c r="L178" s="52">
        <f>_xlfn.COMPOUNDVALUE(65)</f>
        <v>118814</v>
      </c>
      <c r="M178" s="53">
        <f>_xlfn.COMPOUNDVALUE(64)</f>
        <v>91298</v>
      </c>
      <c r="N178" s="54">
        <f>_xlfn.COMPOUNDVALUE(63)</f>
        <v>86426</v>
      </c>
      <c r="O178" s="51">
        <f>_xlfn.COMPOUNDVALUE(62)</f>
        <v>84972</v>
      </c>
      <c r="P178" s="52">
        <f>_xlfn.COMPOUNDVALUE(61)</f>
        <v>81804</v>
      </c>
      <c r="Q178" s="53">
        <f>_xlfn.COMPOUNDVALUE(60)</f>
        <v>78449</v>
      </c>
      <c r="R178" s="54">
        <f>_xlfn.COMPOUNDVALUE(59)</f>
        <v>81850</v>
      </c>
      <c r="S178" s="51">
        <f>_xlfn.COMPOUNDVALUE(58)</f>
        <v>73222</v>
      </c>
      <c r="T178" s="52">
        <f>_xlfn.COMPOUNDVALUE(57)</f>
        <v>66327</v>
      </c>
      <c r="U178" s="53">
        <f>_xlfn.COMPOUNDVALUE(364)</f>
        <v>75539</v>
      </c>
      <c r="V178" s="54">
        <f>_xlfn.COMPOUNDVALUE(477)</f>
        <v>88268</v>
      </c>
      <c r="W178" s="52">
        <f>_xlfn.COMPOUNDVALUE(501)</f>
        <v>52223</v>
      </c>
      <c r="X178" s="54">
        <f>_xlfn.COMPOUNDVALUE(537)</f>
        <v>59206</v>
      </c>
    </row>
    <row r="179" spans="1:24" ht="14.25">
      <c r="A179" s="9" t="e">
        <f t="shared" si="3"/>
        <v>#REF!</v>
      </c>
      <c r="D179" s="210" t="s">
        <v>72</v>
      </c>
      <c r="E179" s="25" t="s">
        <v>73</v>
      </c>
      <c r="F179" s="25"/>
      <c r="G179" s="51">
        <v>0</v>
      </c>
      <c r="H179" s="52">
        <v>0</v>
      </c>
      <c r="I179" s="53">
        <v>0</v>
      </c>
      <c r="J179" s="54">
        <v>0</v>
      </c>
      <c r="K179" s="51">
        <v>0</v>
      </c>
      <c r="L179" s="52">
        <v>0</v>
      </c>
      <c r="M179" s="53">
        <v>0</v>
      </c>
      <c r="N179" s="54">
        <v>0</v>
      </c>
      <c r="O179" s="51">
        <v>0</v>
      </c>
      <c r="P179" s="52">
        <v>0</v>
      </c>
      <c r="Q179" s="53">
        <v>0</v>
      </c>
      <c r="R179" s="54">
        <v>0</v>
      </c>
      <c r="S179" s="51">
        <v>0</v>
      </c>
      <c r="T179" s="52">
        <v>0</v>
      </c>
      <c r="U179" s="53">
        <v>0</v>
      </c>
      <c r="V179" s="54">
        <v>0</v>
      </c>
      <c r="W179" s="52">
        <v>0</v>
      </c>
      <c r="X179" s="54">
        <v>0</v>
      </c>
    </row>
    <row r="180" spans="1:24" ht="6" customHeight="1">
      <c r="A180" s="9" t="e">
        <f t="shared" si="3"/>
        <v>#REF!</v>
      </c>
      <c r="D180" s="18"/>
      <c r="E180" s="25"/>
      <c r="F180" s="25"/>
      <c r="G180" s="24"/>
      <c r="H180" s="25"/>
      <c r="I180" s="25"/>
      <c r="J180" s="26"/>
      <c r="K180" s="24"/>
      <c r="L180" s="25"/>
      <c r="M180" s="25"/>
      <c r="N180" s="26"/>
      <c r="O180" s="24"/>
      <c r="P180" s="25"/>
      <c r="Q180" s="25"/>
      <c r="R180" s="26"/>
      <c r="S180" s="24"/>
      <c r="T180" s="25"/>
      <c r="U180" s="25"/>
      <c r="V180" s="26"/>
      <c r="W180" s="25"/>
      <c r="X180" s="26"/>
    </row>
    <row r="181" spans="1:24" ht="14.25">
      <c r="A181" s="9" t="e">
        <f t="shared" si="3"/>
        <v>#REF!</v>
      </c>
      <c r="D181" s="213" t="s">
        <v>204</v>
      </c>
      <c r="E181" s="25"/>
      <c r="F181" s="25"/>
      <c r="G181" s="47">
        <f>_xlfn.COMPOUNDVALUE(56)</f>
        <v>230357</v>
      </c>
      <c r="H181" s="48">
        <f>_xlfn.COMPOUNDVALUE(55)</f>
        <v>224466</v>
      </c>
      <c r="I181" s="49">
        <f>_xlfn.COMPOUNDVALUE(54)</f>
        <v>226316</v>
      </c>
      <c r="J181" s="50">
        <f>_xlfn.COMPOUNDVALUE(53)</f>
        <v>263310</v>
      </c>
      <c r="K181" s="47">
        <f>_xlfn.COMPOUNDVALUE(52)</f>
        <v>240053</v>
      </c>
      <c r="L181" s="48">
        <f>_xlfn.COMPOUNDVALUE(51)</f>
        <v>253107</v>
      </c>
      <c r="M181" s="49">
        <f>_xlfn.COMPOUNDVALUE(50)</f>
        <v>238653</v>
      </c>
      <c r="N181" s="50">
        <f>_xlfn.COMPOUNDVALUE(49)</f>
        <v>250510</v>
      </c>
      <c r="O181" s="47">
        <f>_xlfn.COMPOUNDVALUE(48)</f>
        <v>259206</v>
      </c>
      <c r="P181" s="48">
        <f>_xlfn.COMPOUNDVALUE(47)</f>
        <v>268378</v>
      </c>
      <c r="Q181" s="49">
        <f>_xlfn.COMPOUNDVALUE(46)</f>
        <v>240690</v>
      </c>
      <c r="R181" s="50">
        <f>_xlfn.COMPOUNDVALUE(45)</f>
        <v>268799</v>
      </c>
      <c r="S181" s="47">
        <f>_xlfn.COMPOUNDVALUE(44)</f>
        <v>248373</v>
      </c>
      <c r="T181" s="48">
        <f>_xlfn.COMPOUNDVALUE(43)</f>
        <v>279361</v>
      </c>
      <c r="U181" s="49">
        <f>_xlfn.COMPOUNDVALUE(363)</f>
        <v>264785</v>
      </c>
      <c r="V181" s="50">
        <f>_xlfn.COMPOUNDVALUE(470)</f>
        <v>268258</v>
      </c>
      <c r="W181" s="48">
        <f>_xlfn.COMPOUNDVALUE(496)</f>
        <v>277355</v>
      </c>
      <c r="X181" s="50">
        <f>_xlfn.COMPOUNDVALUE(535)</f>
        <v>313406</v>
      </c>
    </row>
    <row r="182" spans="1:24" ht="14.25">
      <c r="A182" s="9" t="e">
        <f t="shared" si="3"/>
        <v>#REF!</v>
      </c>
      <c r="D182" s="210" t="s">
        <v>202</v>
      </c>
      <c r="E182" s="25" t="s">
        <v>69</v>
      </c>
      <c r="F182" s="25"/>
      <c r="G182" s="51">
        <f>_xlfn.COMPOUNDVALUE(42)</f>
        <v>118695</v>
      </c>
      <c r="H182" s="52">
        <f>_xlfn.COMPOUNDVALUE(41)</f>
        <v>116743</v>
      </c>
      <c r="I182" s="53">
        <f>_xlfn.COMPOUNDVALUE(40)</f>
        <v>121393</v>
      </c>
      <c r="J182" s="54">
        <f>_xlfn.COMPOUNDVALUE(39)</f>
        <v>140352</v>
      </c>
      <c r="K182" s="51">
        <f>_xlfn.COMPOUNDVALUE(38)</f>
        <v>121191</v>
      </c>
      <c r="L182" s="52">
        <f>_xlfn.COMPOUNDVALUE(37)</f>
        <v>129185</v>
      </c>
      <c r="M182" s="53">
        <f>_xlfn.COMPOUNDVALUE(36)</f>
        <v>117209</v>
      </c>
      <c r="N182" s="54">
        <f>_xlfn.COMPOUNDVALUE(35)</f>
        <v>111409</v>
      </c>
      <c r="O182" s="51">
        <f>_xlfn.COMPOUNDVALUE(34)</f>
        <v>125032</v>
      </c>
      <c r="P182" s="52">
        <f>_xlfn.COMPOUNDVALUE(33)</f>
        <v>126654</v>
      </c>
      <c r="Q182" s="53">
        <f>_xlfn.COMPOUNDVALUE(32)</f>
        <v>112227</v>
      </c>
      <c r="R182" s="54">
        <f>_xlfn.COMPOUNDVALUE(31)</f>
        <v>124466</v>
      </c>
      <c r="S182" s="51">
        <f>_xlfn.COMPOUNDVALUE(30)</f>
        <v>107528</v>
      </c>
      <c r="T182" s="52">
        <f>_xlfn.COMPOUNDVALUE(29)</f>
        <v>124996</v>
      </c>
      <c r="U182" s="53">
        <f>_xlfn.COMPOUNDVALUE(367)</f>
        <v>118714</v>
      </c>
      <c r="V182" s="54">
        <f>_xlfn.COMPOUNDVALUE(471)</f>
        <v>107804</v>
      </c>
      <c r="W182" s="52">
        <f>_xlfn.COMPOUNDVALUE(508)</f>
        <v>108162</v>
      </c>
      <c r="X182" s="54">
        <f>_xlfn.COMPOUNDVALUE(545)</f>
        <v>125557</v>
      </c>
    </row>
    <row r="183" spans="1:24" ht="14.25">
      <c r="A183" s="9" t="e">
        <f t="shared" si="3"/>
        <v>#REF!</v>
      </c>
      <c r="D183" s="210" t="s">
        <v>70</v>
      </c>
      <c r="E183" s="25" t="s">
        <v>71</v>
      </c>
      <c r="F183" s="25"/>
      <c r="G183" s="51">
        <f>_xlfn.COMPOUNDVALUE(28)</f>
        <v>31494</v>
      </c>
      <c r="H183" s="52">
        <f>_xlfn.COMPOUNDVALUE(27)</f>
        <v>33277</v>
      </c>
      <c r="I183" s="53">
        <f>_xlfn.COMPOUNDVALUE(26)</f>
        <v>32097</v>
      </c>
      <c r="J183" s="54">
        <f>_xlfn.COMPOUNDVALUE(25)</f>
        <v>35196</v>
      </c>
      <c r="K183" s="51">
        <f>_xlfn.COMPOUNDVALUE(24)</f>
        <v>33155</v>
      </c>
      <c r="L183" s="52">
        <f>_xlfn.COMPOUNDVALUE(23)</f>
        <v>33624</v>
      </c>
      <c r="M183" s="53">
        <f>_xlfn.COMPOUNDVALUE(22)</f>
        <v>34571</v>
      </c>
      <c r="N183" s="54">
        <f>_xlfn.COMPOUNDVALUE(21)</f>
        <v>38116</v>
      </c>
      <c r="O183" s="51">
        <f>_xlfn.COMPOUNDVALUE(20)</f>
        <v>37970</v>
      </c>
      <c r="P183" s="52">
        <f>_xlfn.COMPOUNDVALUE(19)</f>
        <v>38358</v>
      </c>
      <c r="Q183" s="53">
        <f>_xlfn.COMPOUNDVALUE(18)</f>
        <v>34891</v>
      </c>
      <c r="R183" s="54">
        <f>_xlfn.COMPOUNDVALUE(17)</f>
        <v>41167</v>
      </c>
      <c r="S183" s="51">
        <f>_xlfn.COMPOUNDVALUE(16)</f>
        <v>36237</v>
      </c>
      <c r="T183" s="52">
        <f>_xlfn.COMPOUNDVALUE(15)</f>
        <v>37932</v>
      </c>
      <c r="U183" s="53">
        <f>_xlfn.COMPOUNDVALUE(362)</f>
        <v>37360</v>
      </c>
      <c r="V183" s="54">
        <f>_xlfn.COMPOUNDVALUE(481)</f>
        <v>42367</v>
      </c>
      <c r="W183" s="52">
        <f>_xlfn.COMPOUNDVALUE(493)</f>
        <v>35389</v>
      </c>
      <c r="X183" s="54">
        <f>_xlfn.COMPOUNDVALUE(533)</f>
        <v>36861</v>
      </c>
    </row>
    <row r="184" spans="1:24" ht="14.25">
      <c r="A184" s="9" t="e">
        <f t="shared" si="3"/>
        <v>#REF!</v>
      </c>
      <c r="D184" s="210" t="s">
        <v>72</v>
      </c>
      <c r="E184" s="25" t="s">
        <v>73</v>
      </c>
      <c r="F184" s="25"/>
      <c r="G184" s="51">
        <f>_xlfn.COMPOUNDVALUE(14)</f>
        <v>80168</v>
      </c>
      <c r="H184" s="52">
        <f>_xlfn.COMPOUNDVALUE(13)</f>
        <v>74446</v>
      </c>
      <c r="I184" s="53">
        <f>_xlfn.COMPOUNDVALUE(12)</f>
        <v>72826</v>
      </c>
      <c r="J184" s="54">
        <f>_xlfn.COMPOUNDVALUE(11)</f>
        <v>87762</v>
      </c>
      <c r="K184" s="51">
        <f>_xlfn.COMPOUNDVALUE(10)</f>
        <v>85707</v>
      </c>
      <c r="L184" s="52">
        <f>_xlfn.COMPOUNDVALUE(9)</f>
        <v>90298</v>
      </c>
      <c r="M184" s="53">
        <f>_xlfn.COMPOUNDVALUE(8)</f>
        <v>86873</v>
      </c>
      <c r="N184" s="54">
        <f>_xlfn.COMPOUNDVALUE(7)</f>
        <v>100985</v>
      </c>
      <c r="O184" s="51">
        <f>_xlfn.COMPOUNDVALUE(6)</f>
        <v>96204</v>
      </c>
      <c r="P184" s="52">
        <f>_xlfn.COMPOUNDVALUE(5)</f>
        <v>103366</v>
      </c>
      <c r="Q184" s="53">
        <f>_xlfn.COMPOUNDVALUE(4)</f>
        <v>93572</v>
      </c>
      <c r="R184" s="54">
        <f>_xlfn.COMPOUNDVALUE(3)</f>
        <v>103166</v>
      </c>
      <c r="S184" s="51">
        <f>_xlfn.COMPOUNDVALUE(2)</f>
        <v>104608</v>
      </c>
      <c r="T184" s="52">
        <f>_xlfn.COMPOUNDVALUE(1)</f>
        <v>116433</v>
      </c>
      <c r="U184" s="53">
        <f>_xlfn.COMPOUNDVALUE(365)</f>
        <v>108711</v>
      </c>
      <c r="V184" s="54">
        <f>_xlfn.COMPOUNDVALUE(478)</f>
        <v>118087</v>
      </c>
      <c r="W184" s="52">
        <f>_xlfn.COMPOUNDVALUE(491)</f>
        <v>133804</v>
      </c>
      <c r="X184" s="54">
        <f>_xlfn.COMPOUNDVALUE(543)</f>
        <v>150988</v>
      </c>
    </row>
    <row r="185" spans="1:24" ht="4.5" customHeight="1">
      <c r="A185" s="9" t="e">
        <f t="shared" si="3"/>
        <v>#REF!</v>
      </c>
      <c r="D185" s="18"/>
      <c r="E185" s="25"/>
      <c r="F185" s="25"/>
      <c r="G185" s="24"/>
      <c r="H185" s="25"/>
      <c r="I185" s="25"/>
      <c r="J185" s="26"/>
      <c r="K185" s="24"/>
      <c r="L185" s="25"/>
      <c r="M185" s="25"/>
      <c r="N185" s="26"/>
      <c r="O185" s="24"/>
      <c r="P185" s="25"/>
      <c r="Q185" s="25"/>
      <c r="R185" s="26"/>
      <c r="S185" s="24"/>
      <c r="T185" s="25"/>
      <c r="U185" s="25"/>
      <c r="V185" s="26"/>
      <c r="W185" s="25"/>
      <c r="X185" s="26"/>
    </row>
    <row r="186" spans="1:24" ht="14.25">
      <c r="A186" s="9" t="e">
        <f t="shared" si="3"/>
        <v>#REF!</v>
      </c>
      <c r="D186" s="213" t="s">
        <v>203</v>
      </c>
      <c r="E186" s="25"/>
      <c r="F186" s="25"/>
      <c r="G186" s="47">
        <v>50601</v>
      </c>
      <c r="H186" s="48">
        <v>73093</v>
      </c>
      <c r="I186" s="49">
        <v>89916</v>
      </c>
      <c r="J186" s="50">
        <v>74940</v>
      </c>
      <c r="K186" s="47">
        <v>70091</v>
      </c>
      <c r="L186" s="48">
        <v>72178</v>
      </c>
      <c r="M186" s="49">
        <v>71464</v>
      </c>
      <c r="N186" s="50">
        <v>83562</v>
      </c>
      <c r="O186" s="47">
        <v>75826</v>
      </c>
      <c r="P186" s="48">
        <v>77887</v>
      </c>
      <c r="Q186" s="49">
        <v>65489</v>
      </c>
      <c r="R186" s="50">
        <v>82783</v>
      </c>
      <c r="S186" s="47">
        <v>83663</v>
      </c>
      <c r="T186" s="48">
        <v>95528</v>
      </c>
      <c r="U186" s="49">
        <v>84000</v>
      </c>
      <c r="V186" s="50">
        <v>113367</v>
      </c>
      <c r="W186" s="48">
        <v>95607</v>
      </c>
      <c r="X186" s="50">
        <v>95380</v>
      </c>
    </row>
    <row r="187" spans="1:24" ht="14.25">
      <c r="A187" s="9" t="e">
        <f t="shared" si="3"/>
        <v>#REF!</v>
      </c>
      <c r="D187" s="210" t="s">
        <v>202</v>
      </c>
      <c r="E187" s="25"/>
      <c r="F187" s="25"/>
      <c r="G187" s="51">
        <v>2165</v>
      </c>
      <c r="H187" s="52">
        <f>_xlfn.COMPOUNDVALUE(1038)</f>
        <v>8355</v>
      </c>
      <c r="I187" s="53">
        <f>_xlfn.COMPOUNDVALUE(1066)</f>
        <v>9482</v>
      </c>
      <c r="J187" s="54">
        <f>_xlfn.COMPOUNDVALUE(1082)</f>
        <v>7100</v>
      </c>
      <c r="K187" s="51">
        <f>_xlfn.COMPOUNDVALUE(747)</f>
        <v>6411</v>
      </c>
      <c r="L187" s="52">
        <f>_xlfn.COMPOUNDVALUE(820)</f>
        <v>10055</v>
      </c>
      <c r="M187" s="53">
        <f>_xlfn.COMPOUNDVALUE(734)</f>
        <v>9466</v>
      </c>
      <c r="N187" s="54">
        <f>_xlfn.COMPOUNDVALUE(673)</f>
        <v>9282</v>
      </c>
      <c r="O187" s="51">
        <f>_xlfn.COMPOUNDVALUE(966)</f>
        <v>7896</v>
      </c>
      <c r="P187" s="52">
        <f>_xlfn.COMPOUNDVALUE(841)</f>
        <v>8575</v>
      </c>
      <c r="Q187" s="53">
        <f>_xlfn.COMPOUNDVALUE(922)</f>
        <v>5864</v>
      </c>
      <c r="R187" s="54">
        <f>_xlfn.COMPOUNDVALUE(571)</f>
        <v>6672</v>
      </c>
      <c r="S187" s="51">
        <f>_xlfn.COMPOUNDVALUE(793)</f>
        <v>7674</v>
      </c>
      <c r="T187" s="52">
        <f>_xlfn.COMPOUNDVALUE(996)</f>
        <v>8492</v>
      </c>
      <c r="U187" s="53">
        <f>_xlfn.COMPOUNDVALUE(778)</f>
        <v>9345</v>
      </c>
      <c r="V187" s="54">
        <f>_xlfn.COMPOUNDVALUE(640)</f>
        <v>10763</v>
      </c>
      <c r="W187" s="52">
        <f>_xlfn.COMPOUNDVALUE(882)</f>
        <v>6450</v>
      </c>
      <c r="X187" s="54">
        <f>_xlfn.COMPOUNDVALUE(863)</f>
        <v>5644</v>
      </c>
    </row>
    <row r="188" spans="1:24" ht="14.25">
      <c r="A188" s="9" t="e">
        <f>A187+1</f>
        <v>#REF!</v>
      </c>
      <c r="D188" s="210" t="s">
        <v>70</v>
      </c>
      <c r="E188" s="25"/>
      <c r="F188" s="25"/>
      <c r="G188" s="51">
        <v>11743</v>
      </c>
      <c r="H188" s="52">
        <f>_xlfn.COMPOUNDVALUE(1042)</f>
        <v>13952</v>
      </c>
      <c r="I188" s="53">
        <f>_xlfn.COMPOUNDVALUE(1056)</f>
        <v>17120</v>
      </c>
      <c r="J188" s="54">
        <f>_xlfn.COMPOUNDVALUE(1080)</f>
        <v>15790</v>
      </c>
      <c r="K188" s="51">
        <f>_xlfn.COMPOUNDVALUE(752)</f>
        <v>14220</v>
      </c>
      <c r="L188" s="52">
        <f>_xlfn.COMPOUNDVALUE(822)</f>
        <v>14052</v>
      </c>
      <c r="M188" s="53">
        <f>_xlfn.COMPOUNDVALUE(724)</f>
        <v>13163</v>
      </c>
      <c r="N188" s="54">
        <f>_xlfn.COMPOUNDVALUE(672)</f>
        <v>16481</v>
      </c>
      <c r="O188" s="51">
        <f>_xlfn.COMPOUNDVALUE(972)</f>
        <v>14006</v>
      </c>
      <c r="P188" s="52">
        <f>_xlfn.COMPOUNDVALUE(843)</f>
        <v>13809</v>
      </c>
      <c r="Q188" s="53">
        <f>_xlfn.COMPOUNDVALUE(912)</f>
        <v>11643</v>
      </c>
      <c r="R188" s="54">
        <f>_xlfn.COMPOUNDVALUE(568)</f>
        <v>13070</v>
      </c>
      <c r="S188" s="51">
        <f>_xlfn.COMPOUNDVALUE(798)</f>
        <v>13153</v>
      </c>
      <c r="T188" s="52">
        <f>_xlfn.COMPOUNDVALUE(998)</f>
        <v>13708</v>
      </c>
      <c r="U188" s="53">
        <f>_xlfn.COMPOUNDVALUE(768)</f>
        <v>12672</v>
      </c>
      <c r="V188" s="54">
        <f>_xlfn.COMPOUNDVALUE(639)</f>
        <v>15580</v>
      </c>
      <c r="W188" s="52">
        <f>_xlfn.COMPOUNDVALUE(888)</f>
        <v>12975</v>
      </c>
      <c r="X188" s="54">
        <f>_xlfn.COMPOUNDVALUE(867)</f>
        <v>13634</v>
      </c>
    </row>
    <row r="189" spans="1:24" ht="15" thickBot="1">
      <c r="A189" s="9" t="e">
        <f>A188+1</f>
        <v>#REF!</v>
      </c>
      <c r="D189" s="116" t="s">
        <v>72</v>
      </c>
      <c r="E189" s="251"/>
      <c r="F189" s="251"/>
      <c r="G189" s="121">
        <v>36693</v>
      </c>
      <c r="H189" s="122">
        <f>_xlfn.COMPOUNDVALUE(1020)</f>
        <v>50786</v>
      </c>
      <c r="I189" s="123">
        <f>_xlfn.COMPOUNDVALUE(1076)</f>
        <v>63314</v>
      </c>
      <c r="J189" s="124">
        <f>_xlfn.COMPOUNDVALUE(1077)</f>
        <v>52050</v>
      </c>
      <c r="K189" s="121">
        <f>_xlfn.COMPOUNDVALUE(1015)</f>
        <v>49460</v>
      </c>
      <c r="L189" s="122">
        <f>_xlfn.COMPOUNDVALUE(908)</f>
        <v>48071</v>
      </c>
      <c r="M189" s="123">
        <f>_xlfn.COMPOUNDVALUE(905)</f>
        <v>48835</v>
      </c>
      <c r="N189" s="124">
        <f>_xlfn.COMPOUNDVALUE(722)</f>
        <v>57799</v>
      </c>
      <c r="O189" s="121">
        <f>_xlfn.COMPOUNDVALUE(1017)</f>
        <v>53924</v>
      </c>
      <c r="P189" s="122">
        <f>_xlfn.COMPOUNDVALUE(1014)</f>
        <v>55503</v>
      </c>
      <c r="Q189" s="123">
        <f>_xlfn.COMPOUNDVALUE(1013)</f>
        <v>47982</v>
      </c>
      <c r="R189" s="124">
        <f>_xlfn.COMPOUNDVALUE(661)</f>
        <v>63041</v>
      </c>
      <c r="S189" s="121">
        <f>_xlfn.COMPOUNDVALUE(1016)</f>
        <v>62836</v>
      </c>
      <c r="T189" s="122">
        <f>_xlfn.COMPOUNDVALUE(904)</f>
        <v>73328</v>
      </c>
      <c r="U189" s="123">
        <f>_xlfn.COMPOUNDVALUE(907)</f>
        <v>61983</v>
      </c>
      <c r="V189" s="124">
        <f>_xlfn.COMPOUNDVALUE(662)</f>
        <v>87024</v>
      </c>
      <c r="W189" s="122">
        <f>_xlfn.COMPOUNDVALUE(906)</f>
        <v>76182</v>
      </c>
      <c r="X189" s="124">
        <f>_xlfn.COMPOUNDVALUE(1018)</f>
        <v>76102</v>
      </c>
    </row>
  </sheetData>
  <sheetProtection password="FF63" sheet="1" objects="1" scenarios="1"/>
  <mergeCells count="7">
    <mergeCell ref="D144:X144"/>
    <mergeCell ref="D169:X169"/>
    <mergeCell ref="G1:X1"/>
    <mergeCell ref="B4:C4"/>
    <mergeCell ref="D5:X5"/>
    <mergeCell ref="D56:X56"/>
    <mergeCell ref="D100:X100"/>
  </mergeCells>
  <printOptions/>
  <pageMargins left="0.15748031496062992" right="0.15748031496062992" top="0.15748031496062992" bottom="0.15748031496062992" header="0.15748031496062992" footer="0.15748031496062992"/>
  <pageSetup horizontalDpi="600" verticalDpi="600" orientation="landscape" paperSize="8" scale="55" r:id="rId1"/>
</worksheet>
</file>

<file path=xl/worksheets/sheet2.xml><?xml version="1.0" encoding="utf-8"?>
<worksheet xmlns="http://schemas.openxmlformats.org/spreadsheetml/2006/main" xmlns:r="http://schemas.openxmlformats.org/officeDocument/2006/relationships">
  <dimension ref="A1:E85"/>
  <sheetViews>
    <sheetView view="pageBreakPreview" zoomScaleSheetLayoutView="100" zoomScalePageLayoutView="0" workbookViewId="0" topLeftCell="A1">
      <pane ySplit="3" topLeftCell="A52" activePane="bottomLeft" state="frozen"/>
      <selection pane="topLeft" activeCell="A1" sqref="A1"/>
      <selection pane="bottomLeft" activeCell="D56" sqref="D56"/>
    </sheetView>
  </sheetViews>
  <sheetFormatPr defaultColWidth="9.140625" defaultRowHeight="15"/>
  <cols>
    <col min="1" max="1" width="48.28125" style="3" bestFit="1" customWidth="1"/>
    <col min="2" max="2" width="14.28125" style="8" bestFit="1" customWidth="1"/>
    <col min="3" max="5" width="12.57421875" style="8" bestFit="1" customWidth="1"/>
    <col min="6" max="16384" width="9.140625" style="3" customWidth="1"/>
  </cols>
  <sheetData>
    <row r="1" spans="1:5" ht="15.75" thickBot="1">
      <c r="A1" s="195" t="s">
        <v>179</v>
      </c>
      <c r="B1" s="264"/>
      <c r="C1" s="265"/>
      <c r="D1" s="265"/>
      <c r="E1" s="265"/>
    </row>
    <row r="2" spans="1:5" s="235" customFormat="1" ht="15.75" hidden="1" thickBot="1">
      <c r="A2" s="232"/>
      <c r="B2" s="233" t="e">
        <f>VLOOKUP(B$3,#REF!,2,FALSE)</f>
        <v>#REF!</v>
      </c>
      <c r="C2" s="234" t="e">
        <f>VLOOKUP(C$3,#REF!,2,FALSE)</f>
        <v>#REF!</v>
      </c>
      <c r="D2" s="234" t="e">
        <f>VLOOKUP(D$3,#REF!,2,FALSE)</f>
        <v>#REF!</v>
      </c>
      <c r="E2" s="234" t="e">
        <f>VLOOKUP(E$3,#REF!,2,FALSE)</f>
        <v>#REF!</v>
      </c>
    </row>
    <row r="3" spans="1:5" ht="25.5" customHeight="1" thickBot="1">
      <c r="A3" s="219" t="s">
        <v>0</v>
      </c>
      <c r="B3" s="194">
        <f>VALUE(RIGHT('Quarterly Performance'!G4,4))</f>
        <v>2010</v>
      </c>
      <c r="C3" s="194">
        <f>B3+1</f>
        <v>2011</v>
      </c>
      <c r="D3" s="194">
        <f>C3+1</f>
        <v>2012</v>
      </c>
      <c r="E3" s="194">
        <f>D3+1</f>
        <v>2013</v>
      </c>
    </row>
    <row r="4" spans="1:5" ht="15.75" thickBot="1">
      <c r="A4" s="262" t="s">
        <v>180</v>
      </c>
      <c r="B4" s="263"/>
      <c r="C4" s="263"/>
      <c r="D4" s="263"/>
      <c r="E4" s="263"/>
    </row>
    <row r="5" spans="1:5" ht="15">
      <c r="A5" s="115" t="s">
        <v>1</v>
      </c>
      <c r="B5" s="208">
        <v>455579</v>
      </c>
      <c r="C5" s="206">
        <v>521748</v>
      </c>
      <c r="D5" s="206">
        <v>532228</v>
      </c>
      <c r="E5" s="206">
        <v>556652</v>
      </c>
    </row>
    <row r="6" spans="1:5" ht="15">
      <c r="A6" s="215" t="s">
        <v>181</v>
      </c>
      <c r="B6" s="207">
        <f>_xlfn.COMPOUNDVALUE(288)</f>
        <v>366334</v>
      </c>
      <c r="C6" s="197">
        <f>_xlfn.COMPOUNDVALUE(284)</f>
        <v>418158</v>
      </c>
      <c r="D6" s="197">
        <f>_xlfn.COMPOUNDVALUE(280)</f>
        <v>420281</v>
      </c>
      <c r="E6" s="197">
        <f>_xlfn.COMPOUNDVALUE(459)</f>
        <v>434975</v>
      </c>
    </row>
    <row r="7" spans="1:5" ht="15">
      <c r="A7" s="215" t="s">
        <v>182</v>
      </c>
      <c r="B7" s="207">
        <f>_xlfn.COMPOUNDVALUE(1098)</f>
        <v>89245</v>
      </c>
      <c r="C7" s="197">
        <f>_xlfn.COMPOUNDVALUE(693)</f>
        <v>103590</v>
      </c>
      <c r="D7" s="197">
        <f>_xlfn.COMPOUNDVALUE(589)</f>
        <v>111947</v>
      </c>
      <c r="E7" s="197">
        <f>_xlfn.COMPOUNDVALUE(660)</f>
        <v>121677</v>
      </c>
    </row>
    <row r="8" spans="1:5" s="6" customFormat="1" ht="6.75" customHeight="1">
      <c r="A8" s="210"/>
      <c r="B8" s="222"/>
      <c r="C8" s="199"/>
      <c r="D8" s="199"/>
      <c r="E8" s="199"/>
    </row>
    <row r="9" spans="1:5" s="209" customFormat="1" ht="15">
      <c r="A9" s="211" t="s">
        <v>74</v>
      </c>
      <c r="B9" s="221">
        <v>67325</v>
      </c>
      <c r="C9" s="196">
        <f>_xlfn.COMPOUNDVALUE(341)</f>
        <v>48955</v>
      </c>
      <c r="D9" s="196">
        <f>_xlfn.COMPOUNDVALUE(337)</f>
        <v>54150</v>
      </c>
      <c r="E9" s="196">
        <f>_xlfn.COMPOUNDVALUE(474)</f>
        <v>55218</v>
      </c>
    </row>
    <row r="10" spans="1:5" s="209" customFormat="1" ht="15">
      <c r="A10" s="215" t="s">
        <v>75</v>
      </c>
      <c r="B10" s="239">
        <v>0.14777898015492374</v>
      </c>
      <c r="C10" s="240">
        <f>_xlfn.COMPOUNDVALUE(341)</f>
        <v>0.09382882157669986</v>
      </c>
      <c r="D10" s="240">
        <f>_xlfn.COMPOUNDVALUE(337)</f>
        <v>0.10174211052406111</v>
      </c>
      <c r="E10" s="240">
        <f>_xlfn.COMPOUNDVALUE(474)</f>
        <v>0.09919662553983458</v>
      </c>
    </row>
    <row r="11" spans="1:5" ht="6" customHeight="1">
      <c r="A11" s="217"/>
      <c r="B11" s="220"/>
      <c r="C11" s="198"/>
      <c r="D11" s="198"/>
      <c r="E11" s="198"/>
    </row>
    <row r="12" spans="1:5" ht="15">
      <c r="A12" s="211" t="s">
        <v>101</v>
      </c>
      <c r="B12" s="221">
        <v>279478007</v>
      </c>
      <c r="C12" s="196">
        <v>328107940.13</v>
      </c>
      <c r="D12" s="196">
        <v>372919682.89477104</v>
      </c>
      <c r="E12" s="196">
        <v>482268976.5</v>
      </c>
    </row>
    <row r="13" spans="1:5" ht="7.5" customHeight="1">
      <c r="A13" s="210"/>
      <c r="B13" s="222"/>
      <c r="C13" s="199"/>
      <c r="D13" s="199"/>
      <c r="E13" s="199"/>
    </row>
    <row r="14" spans="1:5" ht="15">
      <c r="A14" s="211" t="s">
        <v>104</v>
      </c>
      <c r="B14" s="221">
        <v>381829153.50733304</v>
      </c>
      <c r="C14" s="196">
        <v>492602137.67322314</v>
      </c>
      <c r="D14" s="196">
        <v>580404249.6937411</v>
      </c>
      <c r="E14" s="196">
        <v>652820777.7016559</v>
      </c>
    </row>
    <row r="15" spans="1:5" ht="8.25" customHeight="1">
      <c r="A15" s="210"/>
      <c r="B15" s="222"/>
      <c r="C15" s="199"/>
      <c r="D15" s="199"/>
      <c r="E15" s="199"/>
    </row>
    <row r="16" spans="1:5" ht="15">
      <c r="A16" s="211" t="s">
        <v>18</v>
      </c>
      <c r="B16" s="221">
        <v>579460007.995</v>
      </c>
      <c r="C16" s="196">
        <v>577029844.3</v>
      </c>
      <c r="D16" s="196">
        <v>633827854</v>
      </c>
      <c r="E16" s="196">
        <v>589103515</v>
      </c>
    </row>
    <row r="17" spans="1:5" ht="7.5" customHeight="1">
      <c r="A17" s="210"/>
      <c r="B17" s="222"/>
      <c r="C17" s="199"/>
      <c r="D17" s="199"/>
      <c r="E17" s="199"/>
    </row>
    <row r="18" spans="1:5" ht="15">
      <c r="A18" s="211" t="s">
        <v>19</v>
      </c>
      <c r="B18" s="221">
        <v>232634</v>
      </c>
      <c r="C18" s="196">
        <v>217101</v>
      </c>
      <c r="D18" s="196">
        <v>264134</v>
      </c>
      <c r="E18" s="196">
        <v>225715</v>
      </c>
    </row>
    <row r="19" spans="1:5" ht="6.75" customHeight="1">
      <c r="A19" s="210"/>
      <c r="B19" s="222"/>
      <c r="C19" s="199"/>
      <c r="D19" s="199"/>
      <c r="E19" s="199"/>
    </row>
    <row r="20" spans="1:5" ht="15">
      <c r="A20" s="211" t="s">
        <v>20</v>
      </c>
      <c r="B20" s="221">
        <v>47973639.757291995</v>
      </c>
      <c r="C20" s="196">
        <v>53054338.613331996</v>
      </c>
      <c r="D20" s="196">
        <v>56300815.596599996</v>
      </c>
      <c r="E20" s="196">
        <v>60002380.57333</v>
      </c>
    </row>
    <row r="21" spans="1:5" ht="15">
      <c r="A21" s="213" t="s">
        <v>184</v>
      </c>
      <c r="B21" s="223">
        <v>10577019.270692</v>
      </c>
      <c r="C21" s="200">
        <v>11565873.703332</v>
      </c>
      <c r="D21" s="200">
        <v>13012247.636599999</v>
      </c>
      <c r="E21" s="200">
        <v>13166003.97</v>
      </c>
    </row>
    <row r="22" spans="1:5" ht="15">
      <c r="A22" s="215" t="s">
        <v>76</v>
      </c>
      <c r="B22" s="207">
        <v>6202419.503641</v>
      </c>
      <c r="C22" s="197">
        <v>6537789.864999999</v>
      </c>
      <c r="D22" s="197">
        <v>7320322.3566</v>
      </c>
      <c r="E22" s="197">
        <v>7023023.61</v>
      </c>
    </row>
    <row r="23" spans="1:5" ht="15">
      <c r="A23" s="215" t="s">
        <v>77</v>
      </c>
      <c r="B23" s="207">
        <v>4374599.767051</v>
      </c>
      <c r="C23" s="197">
        <v>5028083.838332</v>
      </c>
      <c r="D23" s="197">
        <v>5691925.28</v>
      </c>
      <c r="E23" s="197">
        <v>6142980.36</v>
      </c>
    </row>
    <row r="24" spans="1:5" ht="15">
      <c r="A24" s="213" t="s">
        <v>183</v>
      </c>
      <c r="B24" s="223">
        <v>37396620.4866</v>
      </c>
      <c r="C24" s="200">
        <v>41488464.91</v>
      </c>
      <c r="D24" s="200">
        <v>43288567.96</v>
      </c>
      <c r="E24" s="200">
        <v>46836376.60333</v>
      </c>
    </row>
    <row r="25" spans="1:5" ht="15">
      <c r="A25" s="215" t="s">
        <v>76</v>
      </c>
      <c r="B25" s="207">
        <v>22270156.4033</v>
      </c>
      <c r="C25" s="197">
        <v>22434581.64</v>
      </c>
      <c r="D25" s="197">
        <v>22337375.14</v>
      </c>
      <c r="E25" s="197">
        <v>24130469.703330003</v>
      </c>
    </row>
    <row r="26" spans="1:5" ht="15">
      <c r="A26" s="215" t="s">
        <v>77</v>
      </c>
      <c r="B26" s="207">
        <v>15126464.0833</v>
      </c>
      <c r="C26" s="197">
        <v>19053883.27</v>
      </c>
      <c r="D26" s="197">
        <v>20951192.82</v>
      </c>
      <c r="E26" s="197">
        <v>22705906.9</v>
      </c>
    </row>
    <row r="27" spans="1:5" ht="6" customHeight="1">
      <c r="A27" s="217"/>
      <c r="B27" s="220"/>
      <c r="C27" s="198"/>
      <c r="D27" s="198"/>
      <c r="E27" s="198"/>
    </row>
    <row r="28" spans="1:5" ht="15">
      <c r="A28" s="211" t="s">
        <v>78</v>
      </c>
      <c r="B28" s="224">
        <v>204.03307009674376</v>
      </c>
      <c r="C28" s="201">
        <v>188.4917459865241</v>
      </c>
      <c r="D28" s="201">
        <v>169.34598410033033</v>
      </c>
      <c r="E28" s="201">
        <v>166.3859120331227</v>
      </c>
    </row>
    <row r="29" spans="1:5" ht="7.5" customHeight="1">
      <c r="A29" s="210"/>
      <c r="B29" s="222"/>
      <c r="C29" s="199"/>
      <c r="D29" s="199"/>
      <c r="E29" s="199"/>
    </row>
    <row r="30" spans="1:5" ht="15">
      <c r="A30" s="211" t="s">
        <v>24</v>
      </c>
      <c r="B30" s="225">
        <f>_xlfn.COMPOUNDVALUE(288)</f>
        <v>1.0972572122216389</v>
      </c>
      <c r="C30" s="202">
        <f>_xlfn.COMPOUNDVALUE(284)</f>
        <v>1.2538703708154093</v>
      </c>
      <c r="D30" s="202">
        <f>_xlfn.COMPOUNDVALUE(280)</f>
        <v>1.2744313011828936</v>
      </c>
      <c r="E30" s="202">
        <f>_xlfn.COMPOUNDVALUE(459)</f>
        <v>1.3085870648637465</v>
      </c>
    </row>
    <row r="31" spans="1:5" ht="7.5" customHeight="1">
      <c r="A31" s="210"/>
      <c r="B31" s="222"/>
      <c r="C31" s="199"/>
      <c r="D31" s="199"/>
      <c r="E31" s="199"/>
    </row>
    <row r="32" spans="1:5" ht="15">
      <c r="A32" s="211" t="s">
        <v>25</v>
      </c>
      <c r="B32" s="221">
        <v>54097</v>
      </c>
      <c r="C32" s="196">
        <v>60920</v>
      </c>
      <c r="D32" s="196">
        <v>50870</v>
      </c>
      <c r="E32" s="196">
        <v>41321</v>
      </c>
    </row>
    <row r="33" spans="1:5" ht="10.5" customHeight="1" thickBot="1">
      <c r="A33" s="2"/>
      <c r="B33" s="203"/>
      <c r="C33" s="205"/>
      <c r="D33" s="203"/>
      <c r="E33" s="205"/>
    </row>
    <row r="34" spans="1:5" ht="15.75" thickBot="1">
      <c r="A34" s="262" t="s">
        <v>185</v>
      </c>
      <c r="B34" s="263"/>
      <c r="C34" s="263"/>
      <c r="D34" s="263"/>
      <c r="E34" s="263"/>
    </row>
    <row r="35" spans="1:5" ht="15">
      <c r="A35" s="115" t="s">
        <v>1</v>
      </c>
      <c r="B35" s="221">
        <v>247635</v>
      </c>
      <c r="C35" s="196">
        <v>232203</v>
      </c>
      <c r="D35" s="196">
        <v>229740</v>
      </c>
      <c r="E35" s="196">
        <v>231331</v>
      </c>
    </row>
    <row r="36" spans="1:5" ht="15">
      <c r="A36" s="215" t="s">
        <v>181</v>
      </c>
      <c r="B36" s="207">
        <v>56029</v>
      </c>
      <c r="C36" s="197">
        <v>40027</v>
      </c>
      <c r="D36" s="197">
        <v>35282</v>
      </c>
      <c r="E36" s="197">
        <v>36788</v>
      </c>
    </row>
    <row r="37" spans="1:5" ht="15">
      <c r="A37" s="215" t="s">
        <v>182</v>
      </c>
      <c r="B37" s="207">
        <v>188700</v>
      </c>
      <c r="C37" s="197">
        <v>189350</v>
      </c>
      <c r="D37" s="197">
        <v>191634</v>
      </c>
      <c r="E37" s="197">
        <v>191811</v>
      </c>
    </row>
    <row r="38" spans="1:5" ht="15">
      <c r="A38" s="215" t="s">
        <v>80</v>
      </c>
      <c r="B38" s="207">
        <v>2906</v>
      </c>
      <c r="C38" s="197">
        <v>2826</v>
      </c>
      <c r="D38" s="197">
        <v>2824</v>
      </c>
      <c r="E38" s="197">
        <v>2732</v>
      </c>
    </row>
    <row r="39" spans="1:5" s="209" customFormat="1" ht="7.5" customHeight="1">
      <c r="A39" s="210"/>
      <c r="B39" s="222"/>
      <c r="C39" s="199"/>
      <c r="D39" s="199"/>
      <c r="E39" s="199"/>
    </row>
    <row r="40" spans="1:5" s="209" customFormat="1" ht="15">
      <c r="A40" s="211" t="s">
        <v>219</v>
      </c>
      <c r="B40" s="221">
        <v>70021</v>
      </c>
      <c r="C40" s="196">
        <f>_xlfn.COMPOUNDVALUE(341)</f>
        <v>80367</v>
      </c>
      <c r="D40" s="196">
        <f>_xlfn.COMPOUNDVALUE(337)</f>
        <v>85898</v>
      </c>
      <c r="E40" s="196">
        <f>_xlfn.COMPOUNDVALUE(474)</f>
        <v>97577</v>
      </c>
    </row>
    <row r="41" spans="1:5" s="209" customFormat="1" ht="15">
      <c r="A41" s="215" t="s">
        <v>218</v>
      </c>
      <c r="B41" s="239">
        <v>0.3710704822469528</v>
      </c>
      <c r="C41" s="240">
        <f>_xlfn.COMPOUNDVALUE(341)</f>
        <v>0.4244362292051756</v>
      </c>
      <c r="D41" s="240">
        <f>_xlfn.COMPOUNDVALUE(337)</f>
        <v>0.44823987392633874</v>
      </c>
      <c r="E41" s="240">
        <f>_xlfn.COMPOUNDVALUE(474)</f>
        <v>0.5087143073129279</v>
      </c>
    </row>
    <row r="42" spans="1:5" ht="7.5" customHeight="1">
      <c r="A42" s="217"/>
      <c r="B42" s="220"/>
      <c r="C42" s="198"/>
      <c r="D42" s="198"/>
      <c r="E42" s="198"/>
    </row>
    <row r="43" spans="1:5" ht="15">
      <c r="A43" s="211" t="s">
        <v>101</v>
      </c>
      <c r="B43" s="221">
        <v>213358039.75039</v>
      </c>
      <c r="C43" s="196">
        <v>198615382</v>
      </c>
      <c r="D43" s="196">
        <v>192324278</v>
      </c>
      <c r="E43" s="196">
        <v>177949722</v>
      </c>
    </row>
    <row r="44" spans="1:5" ht="7.5" customHeight="1">
      <c r="A44" s="210"/>
      <c r="B44" s="222"/>
      <c r="C44" s="199"/>
      <c r="D44" s="199"/>
      <c r="E44" s="199"/>
    </row>
    <row r="45" spans="1:5" ht="15">
      <c r="A45" s="211" t="s">
        <v>104</v>
      </c>
      <c r="B45" s="221">
        <v>728025895.3824419</v>
      </c>
      <c r="C45" s="196">
        <v>672751518.849966</v>
      </c>
      <c r="D45" s="196">
        <v>655849398.66587</v>
      </c>
      <c r="E45" s="196">
        <v>611238928.4968228</v>
      </c>
    </row>
    <row r="46" spans="1:5" s="6" customFormat="1" ht="7.5" customHeight="1">
      <c r="A46" s="210"/>
      <c r="B46" s="222"/>
      <c r="C46" s="199"/>
      <c r="D46" s="199"/>
      <c r="E46" s="199"/>
    </row>
    <row r="47" spans="1:5" ht="15">
      <c r="A47" s="211" t="s">
        <v>78</v>
      </c>
      <c r="B47" s="224">
        <v>181.06180510685624</v>
      </c>
      <c r="C47" s="201">
        <v>169.0800806491707</v>
      </c>
      <c r="D47" s="201">
        <v>170.12610586624396</v>
      </c>
      <c r="E47" s="201">
        <v>164.367848442576</v>
      </c>
    </row>
    <row r="48" spans="1:5" ht="7.5" customHeight="1">
      <c r="A48" s="217"/>
      <c r="B48" s="220"/>
      <c r="C48" s="198"/>
      <c r="D48" s="198"/>
      <c r="E48" s="198"/>
    </row>
    <row r="49" spans="1:5" ht="15">
      <c r="A49" s="211" t="s">
        <v>36</v>
      </c>
      <c r="B49" s="221">
        <v>4098</v>
      </c>
      <c r="C49" s="196">
        <v>3174</v>
      </c>
      <c r="D49" s="196">
        <v>2947</v>
      </c>
      <c r="E49" s="196">
        <v>1659</v>
      </c>
    </row>
    <row r="50" spans="1:5" ht="13.5" customHeight="1" thickBot="1">
      <c r="A50" s="2"/>
      <c r="B50" s="4"/>
      <c r="C50" s="7"/>
      <c r="D50" s="4"/>
      <c r="E50" s="7"/>
    </row>
    <row r="51" spans="1:5" ht="15.75" thickBot="1">
      <c r="A51" s="262" t="s">
        <v>186</v>
      </c>
      <c r="B51" s="263"/>
      <c r="C51" s="263"/>
      <c r="D51" s="263"/>
      <c r="E51" s="263"/>
    </row>
    <row r="52" spans="1:5" ht="15">
      <c r="A52" s="115" t="s">
        <v>1</v>
      </c>
      <c r="B52" s="221">
        <v>121654</v>
      </c>
      <c r="C52" s="196">
        <v>128678</v>
      </c>
      <c r="D52" s="196">
        <v>135758</v>
      </c>
      <c r="E52" s="196">
        <v>143010</v>
      </c>
    </row>
    <row r="53" spans="1:5" ht="15">
      <c r="A53" s="213" t="s">
        <v>81</v>
      </c>
      <c r="B53" s="223">
        <v>0</v>
      </c>
      <c r="C53" s="200">
        <v>0</v>
      </c>
      <c r="D53" s="200">
        <v>0</v>
      </c>
      <c r="E53" s="200">
        <v>0</v>
      </c>
    </row>
    <row r="54" spans="1:5" ht="8.25" customHeight="1">
      <c r="A54" s="210"/>
      <c r="B54" s="212"/>
      <c r="C54" s="210"/>
      <c r="D54" s="210"/>
      <c r="E54" s="210"/>
    </row>
    <row r="55" spans="1:5" ht="15">
      <c r="A55" s="213" t="s">
        <v>82</v>
      </c>
      <c r="B55" s="223">
        <v>121654</v>
      </c>
      <c r="C55" s="200">
        <v>128678</v>
      </c>
      <c r="D55" s="200">
        <v>135758</v>
      </c>
      <c r="E55" s="200">
        <v>143010</v>
      </c>
    </row>
    <row r="56" spans="1:5" ht="15">
      <c r="A56" s="215" t="s">
        <v>214</v>
      </c>
      <c r="B56" s="207">
        <f>_xlfn.COMPOUNDVALUE(152)</f>
        <v>53600</v>
      </c>
      <c r="C56" s="197">
        <f>_xlfn.COMPOUNDVALUE(148)</f>
        <v>59084</v>
      </c>
      <c r="D56" s="197">
        <f>_xlfn.COMPOUNDVALUE(144)</f>
        <v>64768</v>
      </c>
      <c r="E56" s="197">
        <f>_xlfn.COMPOUNDVALUE(466)</f>
        <v>70498</v>
      </c>
    </row>
    <row r="57" spans="1:5" ht="15">
      <c r="A57" s="215" t="s">
        <v>83</v>
      </c>
      <c r="B57" s="207">
        <f>_xlfn.COMPOUNDVALUE(1078)</f>
        <v>63394</v>
      </c>
      <c r="C57" s="197">
        <f>_xlfn.COMPOUNDVALUE(683)</f>
        <v>66084</v>
      </c>
      <c r="D57" s="197">
        <f>_xlfn.COMPOUNDVALUE(567)</f>
        <v>68053</v>
      </c>
      <c r="E57" s="197">
        <f>_xlfn.COMPOUNDVALUE(650)</f>
        <v>70052</v>
      </c>
    </row>
    <row r="58" spans="1:5" ht="15">
      <c r="A58" s="215" t="s">
        <v>215</v>
      </c>
      <c r="B58" s="207">
        <f>_xlfn.COMPOUNDVALUE(1086)</f>
        <v>4660</v>
      </c>
      <c r="C58" s="197">
        <f>_xlfn.COMPOUNDVALUE(676)</f>
        <v>3510</v>
      </c>
      <c r="D58" s="197">
        <f>_xlfn.COMPOUNDVALUE(576)</f>
        <v>2937</v>
      </c>
      <c r="E58" s="197">
        <f>_xlfn.COMPOUNDVALUE(643)</f>
        <v>2460</v>
      </c>
    </row>
    <row r="59" spans="1:5" s="6" customFormat="1" ht="8.25" customHeight="1">
      <c r="A59" s="210"/>
      <c r="B59" s="222"/>
      <c r="C59" s="199"/>
      <c r="D59" s="199"/>
      <c r="E59" s="199"/>
    </row>
    <row r="60" spans="1:5" s="209" customFormat="1" ht="15">
      <c r="A60" s="150" t="s">
        <v>187</v>
      </c>
      <c r="B60" s="221">
        <f>_xlfn.COMPOUNDVALUE(331)</f>
        <v>64115</v>
      </c>
      <c r="C60" s="196">
        <f>_xlfn.COMPOUNDVALUE(327)</f>
        <v>52905</v>
      </c>
      <c r="D60" s="196">
        <f>_xlfn.COMPOUNDVALUE(323)</f>
        <v>60030</v>
      </c>
      <c r="E60" s="196">
        <f>_xlfn.COMPOUNDVALUE(475)</f>
        <v>75211</v>
      </c>
    </row>
    <row r="61" spans="1:5" s="209" customFormat="1" ht="15">
      <c r="A61" s="215" t="s">
        <v>84</v>
      </c>
      <c r="B61" s="239">
        <f>_xlfn.COMPOUNDVALUE(331)</f>
        <v>0.527027471353182</v>
      </c>
      <c r="C61" s="240">
        <f>_xlfn.COMPOUNDVALUE(327)</f>
        <v>0.41114254184864546</v>
      </c>
      <c r="D61" s="240">
        <f>_xlfn.COMPOUNDVALUE(323)</f>
        <v>0.44218388603249903</v>
      </c>
      <c r="E61" s="240">
        <f>_xlfn.COMPOUNDVALUE(475)</f>
        <v>0.5259142717292496</v>
      </c>
    </row>
    <row r="62" spans="1:5" ht="6.75" customHeight="1">
      <c r="A62" s="217"/>
      <c r="B62" s="226"/>
      <c r="C62" s="217"/>
      <c r="D62" s="217"/>
      <c r="E62" s="217"/>
    </row>
    <row r="63" spans="1:5" ht="15">
      <c r="A63" s="214" t="s">
        <v>23</v>
      </c>
      <c r="B63" s="237">
        <v>177.21645276031074</v>
      </c>
      <c r="C63" s="236">
        <v>170.542878826333</v>
      </c>
      <c r="D63" s="236">
        <v>176.92088863167317</v>
      </c>
      <c r="E63" s="236">
        <v>176.17552485742243</v>
      </c>
    </row>
    <row r="64" spans="1:5" ht="5.25" customHeight="1">
      <c r="A64" s="217"/>
      <c r="B64" s="226"/>
      <c r="C64" s="217"/>
      <c r="D64" s="217"/>
      <c r="E64" s="217"/>
    </row>
    <row r="65" spans="1:5" ht="15">
      <c r="A65" s="211" t="s">
        <v>85</v>
      </c>
      <c r="B65" s="225">
        <v>0.2930023747705914</v>
      </c>
      <c r="C65" s="202">
        <v>0.309240345101055</v>
      </c>
      <c r="D65" s="202">
        <v>0.3250754274220583</v>
      </c>
      <c r="E65" s="202">
        <v>0.3361903597690557</v>
      </c>
    </row>
    <row r="66" spans="1:5" ht="10.5" customHeight="1" thickBot="1">
      <c r="A66" s="2"/>
      <c r="B66" s="4"/>
      <c r="C66" s="7"/>
      <c r="D66" s="4"/>
      <c r="E66" s="7"/>
    </row>
    <row r="67" spans="1:5" ht="15.75" thickBot="1">
      <c r="A67" s="262" t="s">
        <v>60</v>
      </c>
      <c r="B67" s="263"/>
      <c r="C67" s="263"/>
      <c r="D67" s="263"/>
      <c r="E67" s="263"/>
    </row>
    <row r="68" spans="1:5" ht="15">
      <c r="A68" s="227" t="s">
        <v>1</v>
      </c>
      <c r="B68" s="238">
        <f>_xlfn.COMPOUNDVALUE(137)</f>
        <v>143752</v>
      </c>
      <c r="C68" s="238">
        <f>_xlfn.COMPOUNDVALUE(133)</f>
        <v>149727</v>
      </c>
      <c r="D68" s="238">
        <f>_xlfn.COMPOUNDVALUE(129)</f>
        <v>147896</v>
      </c>
      <c r="E68" s="238">
        <f>_xlfn.COMPOUNDVALUE(467)</f>
        <v>148905</v>
      </c>
    </row>
    <row r="69" spans="1:5" ht="15">
      <c r="A69" s="216" t="s">
        <v>86</v>
      </c>
      <c r="B69" s="200">
        <f>_xlfn.COMPOUNDVALUE(137)</f>
        <v>12940</v>
      </c>
      <c r="C69" s="200">
        <f>_xlfn.COMPOUNDVALUE(133)</f>
        <v>10156</v>
      </c>
      <c r="D69" s="200">
        <f>_xlfn.COMPOUNDVALUE(129)</f>
        <v>8516</v>
      </c>
      <c r="E69" s="200">
        <f>_xlfn.COMPOUNDVALUE(467)</f>
        <v>7495</v>
      </c>
    </row>
    <row r="70" spans="1:5" ht="15">
      <c r="A70" s="216" t="s">
        <v>87</v>
      </c>
      <c r="B70" s="200">
        <f>_xlfn.COMPOUNDVALUE(109)</f>
        <v>130812</v>
      </c>
      <c r="C70" s="200">
        <f>_xlfn.COMPOUNDVALUE(105)</f>
        <v>138298</v>
      </c>
      <c r="D70" s="200">
        <f>_xlfn.COMPOUNDVALUE(101)</f>
        <v>135544</v>
      </c>
      <c r="E70" s="200">
        <f>_xlfn.COMPOUNDVALUE(462)</f>
        <v>135456</v>
      </c>
    </row>
    <row r="71" spans="1:5" ht="15">
      <c r="A71" s="228" t="s">
        <v>88</v>
      </c>
      <c r="B71" s="197">
        <f>_xlfn.COMPOUNDVALUE(109)</f>
        <v>70366</v>
      </c>
      <c r="C71" s="197">
        <f>_xlfn.COMPOUNDVALUE(105)</f>
        <v>73631</v>
      </c>
      <c r="D71" s="197">
        <f>_xlfn.COMPOUNDVALUE(101)</f>
        <v>73252</v>
      </c>
      <c r="E71" s="197">
        <f>_xlfn.COMPOUNDVALUE(462)</f>
        <v>73172</v>
      </c>
    </row>
    <row r="72" spans="1:5" ht="15">
      <c r="A72" s="228" t="s">
        <v>89</v>
      </c>
      <c r="B72" s="197">
        <v>60446</v>
      </c>
      <c r="C72" s="197">
        <v>64667</v>
      </c>
      <c r="D72" s="197">
        <v>62292</v>
      </c>
      <c r="E72" s="197">
        <v>62284</v>
      </c>
    </row>
    <row r="73" spans="1:5" ht="15">
      <c r="A73" s="216" t="s">
        <v>90</v>
      </c>
      <c r="B73" s="200">
        <v>0</v>
      </c>
      <c r="C73" s="200">
        <f>_xlfn.COMPOUNDVALUE(675)</f>
        <v>1273</v>
      </c>
      <c r="D73" s="200">
        <f>_xlfn.COMPOUNDVALUE(575)</f>
        <v>3836</v>
      </c>
      <c r="E73" s="200">
        <f>_xlfn.COMPOUNDVALUE(642)</f>
        <v>5954</v>
      </c>
    </row>
    <row r="74" spans="1:5" s="6" customFormat="1" ht="6.75" customHeight="1">
      <c r="A74" s="241"/>
      <c r="B74" s="199"/>
      <c r="C74" s="199"/>
      <c r="D74" s="199"/>
      <c r="E74" s="199"/>
    </row>
    <row r="75" spans="1:5" s="209" customFormat="1" ht="15">
      <c r="A75" s="211" t="s">
        <v>188</v>
      </c>
      <c r="B75" s="221">
        <f>_xlfn.COMPOUNDVALUE(317)</f>
        <v>67387</v>
      </c>
      <c r="C75" s="196">
        <f>_xlfn.COMPOUNDVALUE(313)</f>
        <v>61111</v>
      </c>
      <c r="D75" s="196">
        <f>_xlfn.COMPOUNDVALUE(309)</f>
        <v>62678</v>
      </c>
      <c r="E75" s="196">
        <f>_xlfn.COMPOUNDVALUE(473)</f>
        <v>73496</v>
      </c>
    </row>
    <row r="76" spans="1:5" s="209" customFormat="1" ht="15">
      <c r="A76" s="215" t="s">
        <v>91</v>
      </c>
      <c r="B76" s="239">
        <f>_xlfn.COMPOUNDVALUE(317)</f>
        <v>0.515143870592912</v>
      </c>
      <c r="C76" s="240">
        <f>_xlfn.COMPOUNDVALUE(313)</f>
        <v>0.4378488367927435</v>
      </c>
      <c r="D76" s="240">
        <f>_xlfn.COMPOUNDVALUE(309)</f>
        <v>0.44969149088821925</v>
      </c>
      <c r="E76" s="240">
        <f>_xlfn.COMPOUNDVALUE(473)</f>
        <v>0.5197369351531009</v>
      </c>
    </row>
    <row r="77" spans="1:5" ht="7.5" customHeight="1">
      <c r="A77" s="229"/>
      <c r="B77" s="5"/>
      <c r="C77" s="5"/>
      <c r="D77" s="5"/>
      <c r="E77" s="5"/>
    </row>
    <row r="78" spans="1:5" ht="15">
      <c r="A78" s="230" t="s">
        <v>23</v>
      </c>
      <c r="B78" s="236">
        <v>165.41289549391723</v>
      </c>
      <c r="C78" s="236">
        <v>169.51638461060801</v>
      </c>
      <c r="D78" s="236">
        <v>171.5977108736557</v>
      </c>
      <c r="E78" s="236">
        <v>170.69097895963336</v>
      </c>
    </row>
    <row r="79" spans="1:5" ht="9.75" customHeight="1" thickBot="1">
      <c r="A79" s="204"/>
      <c r="B79" s="205"/>
      <c r="C79" s="205"/>
      <c r="D79" s="205"/>
      <c r="E79" s="205"/>
    </row>
    <row r="80" spans="1:5" ht="15.75" thickBot="1">
      <c r="A80" s="262" t="s">
        <v>68</v>
      </c>
      <c r="B80" s="263"/>
      <c r="C80" s="263"/>
      <c r="D80" s="263"/>
      <c r="E80" s="263"/>
    </row>
    <row r="81" spans="1:5" ht="15">
      <c r="A81" s="211" t="s">
        <v>92</v>
      </c>
      <c r="B81" s="196">
        <v>43883239</v>
      </c>
      <c r="C81" s="196">
        <v>42826888</v>
      </c>
      <c r="D81" s="196">
        <v>41755973</v>
      </c>
      <c r="E81" s="196">
        <v>41443555.20466</v>
      </c>
    </row>
    <row r="82" spans="1:5" ht="15">
      <c r="A82" s="215" t="s">
        <v>216</v>
      </c>
      <c r="B82" s="197">
        <v>17242609</v>
      </c>
      <c r="C82" s="197">
        <v>17146654</v>
      </c>
      <c r="D82" s="197">
        <v>17486557</v>
      </c>
      <c r="E82" s="197">
        <v>16535871.20466</v>
      </c>
    </row>
    <row r="83" spans="1:5" ht="15">
      <c r="A83" s="215" t="s">
        <v>93</v>
      </c>
      <c r="B83" s="197">
        <v>25407631</v>
      </c>
      <c r="C83" s="197">
        <v>24400616</v>
      </c>
      <c r="D83" s="197">
        <v>22930358</v>
      </c>
      <c r="E83" s="197">
        <v>23470349</v>
      </c>
    </row>
    <row r="84" spans="1:5" ht="15">
      <c r="A84" s="215" t="s">
        <v>94</v>
      </c>
      <c r="B84" s="197">
        <v>944449</v>
      </c>
      <c r="C84" s="197">
        <v>982323</v>
      </c>
      <c r="D84" s="197">
        <v>1037073</v>
      </c>
      <c r="E84" s="197">
        <v>1060777</v>
      </c>
    </row>
    <row r="85" spans="1:5" ht="15.75" thickBot="1">
      <c r="A85" s="218" t="s">
        <v>95</v>
      </c>
      <c r="B85" s="231">
        <v>288550</v>
      </c>
      <c r="C85" s="231">
        <v>297295</v>
      </c>
      <c r="D85" s="231">
        <v>301985</v>
      </c>
      <c r="E85" s="231">
        <v>376558</v>
      </c>
    </row>
  </sheetData>
  <sheetProtection password="FF63" sheet="1" objects="1" scenarios="1"/>
  <mergeCells count="6">
    <mergeCell ref="A80:E80"/>
    <mergeCell ref="A4:E4"/>
    <mergeCell ref="A34:E34"/>
    <mergeCell ref="A67:E67"/>
    <mergeCell ref="B1:E1"/>
    <mergeCell ref="A51:E51"/>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A75"/>
  <sheetViews>
    <sheetView view="pageBreakPreview" zoomScaleSheetLayoutView="100" zoomScalePageLayoutView="0" workbookViewId="0" topLeftCell="A1">
      <selection activeCell="E22" sqref="E22"/>
    </sheetView>
  </sheetViews>
  <sheetFormatPr defaultColWidth="9.140625" defaultRowHeight="15"/>
  <cols>
    <col min="1" max="1" width="4.8515625" style="0" customWidth="1"/>
    <col min="2" max="2" width="34.57421875" style="0" customWidth="1"/>
  </cols>
  <sheetData>
    <row r="1" spans="1:27" ht="3" customHeight="1">
      <c r="A1" s="209"/>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row>
    <row r="2" s="172" customFormat="1" ht="3.75" customHeight="1"/>
    <row r="3" s="172" customFormat="1" ht="3.75" customHeight="1"/>
    <row r="4" spans="1:2" s="173" customFormat="1" ht="15">
      <c r="A4" s="173" t="s">
        <v>96</v>
      </c>
      <c r="B4" s="174" t="s">
        <v>180</v>
      </c>
    </row>
    <row r="5" s="172" customFormat="1" ht="3" customHeight="1">
      <c r="A5" s="172">
        <v>1</v>
      </c>
    </row>
    <row r="6" spans="1:27" s="175" customFormat="1" ht="15">
      <c r="A6" s="175" t="s">
        <v>97</v>
      </c>
      <c r="B6" s="211" t="s">
        <v>98</v>
      </c>
      <c r="C6" s="176" t="s">
        <v>99</v>
      </c>
      <c r="D6" s="176"/>
      <c r="E6" s="176"/>
      <c r="F6" s="176"/>
      <c r="G6" s="176"/>
      <c r="H6" s="176"/>
      <c r="I6" s="176"/>
      <c r="J6" s="176"/>
      <c r="K6" s="176"/>
      <c r="L6" s="176"/>
      <c r="M6" s="176"/>
      <c r="N6" s="176"/>
      <c r="O6" s="176"/>
      <c r="P6" s="176"/>
      <c r="Q6" s="176"/>
      <c r="R6" s="176"/>
      <c r="S6" s="176"/>
      <c r="T6" s="176"/>
      <c r="U6" s="176"/>
      <c r="V6" s="176"/>
      <c r="W6" s="176"/>
      <c r="X6" s="176"/>
      <c r="Y6" s="176"/>
      <c r="Z6" s="176"/>
      <c r="AA6" s="176"/>
    </row>
    <row r="7" spans="1:27" ht="15">
      <c r="A7" s="177"/>
      <c r="B7" s="178" t="s">
        <v>207</v>
      </c>
      <c r="C7" s="292" t="s">
        <v>209</v>
      </c>
      <c r="D7" s="271"/>
      <c r="E7" s="271"/>
      <c r="F7" s="271"/>
      <c r="G7" s="271"/>
      <c r="H7" s="271"/>
      <c r="I7" s="271"/>
      <c r="J7" s="271"/>
      <c r="K7" s="271"/>
      <c r="L7" s="271"/>
      <c r="M7" s="271"/>
      <c r="N7" s="271"/>
      <c r="O7" s="271"/>
      <c r="P7" s="271"/>
      <c r="Q7" s="271"/>
      <c r="R7" s="271"/>
      <c r="S7" s="271"/>
      <c r="T7" s="271"/>
      <c r="U7" s="271"/>
      <c r="V7" s="271"/>
      <c r="W7" s="271"/>
      <c r="X7" s="271"/>
      <c r="Y7" s="271"/>
      <c r="Z7" s="271"/>
      <c r="AA7" s="271"/>
    </row>
    <row r="8" spans="1:27" ht="15">
      <c r="A8" s="177"/>
      <c r="B8" s="215" t="s">
        <v>208</v>
      </c>
      <c r="C8" s="292" t="s">
        <v>210</v>
      </c>
      <c r="D8" s="271"/>
      <c r="E8" s="271"/>
      <c r="F8" s="271"/>
      <c r="G8" s="271"/>
      <c r="H8" s="271"/>
      <c r="I8" s="271"/>
      <c r="J8" s="271"/>
      <c r="K8" s="271"/>
      <c r="L8" s="271"/>
      <c r="M8" s="271"/>
      <c r="N8" s="271"/>
      <c r="O8" s="271"/>
      <c r="P8" s="271"/>
      <c r="Q8" s="271"/>
      <c r="R8" s="271"/>
      <c r="S8" s="271"/>
      <c r="T8" s="271"/>
      <c r="U8" s="271"/>
      <c r="V8" s="271"/>
      <c r="W8" s="271"/>
      <c r="X8" s="271"/>
      <c r="Y8" s="271"/>
      <c r="Z8" s="271"/>
      <c r="AA8" s="271"/>
    </row>
    <row r="9" spans="2:27" s="172" customFormat="1" ht="3" customHeight="1">
      <c r="B9" s="217"/>
      <c r="C9" s="179"/>
      <c r="D9" s="180"/>
      <c r="E9" s="180"/>
      <c r="F9" s="180"/>
      <c r="G9" s="180"/>
      <c r="H9" s="180"/>
      <c r="I9" s="180"/>
      <c r="J9" s="180"/>
      <c r="K9" s="180"/>
      <c r="L9" s="180"/>
      <c r="M9" s="180"/>
      <c r="N9" s="180"/>
      <c r="O9" s="180"/>
      <c r="P9" s="180"/>
      <c r="Q9" s="180"/>
      <c r="R9" s="180"/>
      <c r="S9" s="180"/>
      <c r="T9" s="180"/>
      <c r="U9" s="180"/>
      <c r="V9" s="180"/>
      <c r="W9" s="180"/>
      <c r="X9" s="180"/>
      <c r="Y9" s="180"/>
      <c r="Z9" s="180"/>
      <c r="AA9" s="180"/>
    </row>
    <row r="10" spans="1:27" s="175" customFormat="1" ht="15">
      <c r="A10" s="175" t="s">
        <v>100</v>
      </c>
      <c r="B10" s="211" t="s">
        <v>101</v>
      </c>
      <c r="C10" s="266" t="s">
        <v>102</v>
      </c>
      <c r="D10" s="269"/>
      <c r="E10" s="269"/>
      <c r="F10" s="269"/>
      <c r="G10" s="269"/>
      <c r="H10" s="269"/>
      <c r="I10" s="269"/>
      <c r="J10" s="269"/>
      <c r="K10" s="269"/>
      <c r="L10" s="269"/>
      <c r="M10" s="269"/>
      <c r="N10" s="269"/>
      <c r="O10" s="269"/>
      <c r="P10" s="269"/>
      <c r="Q10" s="269"/>
      <c r="R10" s="176"/>
      <c r="S10" s="176"/>
      <c r="T10" s="176"/>
      <c r="U10" s="176"/>
      <c r="V10" s="176"/>
      <c r="W10" s="176"/>
      <c r="X10" s="176"/>
      <c r="Y10" s="176"/>
      <c r="Z10" s="176"/>
      <c r="AA10" s="176"/>
    </row>
    <row r="11" spans="2:27" s="172" customFormat="1" ht="3" customHeight="1">
      <c r="B11" s="217"/>
      <c r="C11" s="181"/>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row>
    <row r="12" spans="1:27" s="175" customFormat="1" ht="15">
      <c r="A12" s="175" t="s">
        <v>103</v>
      </c>
      <c r="B12" s="211" t="s">
        <v>104</v>
      </c>
      <c r="C12" s="266" t="s">
        <v>105</v>
      </c>
      <c r="D12" s="269"/>
      <c r="E12" s="269"/>
      <c r="F12" s="269"/>
      <c r="G12" s="269"/>
      <c r="H12" s="269"/>
      <c r="I12" s="269"/>
      <c r="J12" s="269"/>
      <c r="K12" s="269"/>
      <c r="L12" s="269"/>
      <c r="M12" s="269"/>
      <c r="N12" s="269"/>
      <c r="O12" s="269"/>
      <c r="P12" s="269"/>
      <c r="Q12" s="269"/>
      <c r="R12" s="176"/>
      <c r="S12" s="176"/>
      <c r="T12" s="176"/>
      <c r="U12" s="176"/>
      <c r="V12" s="176"/>
      <c r="W12" s="176"/>
      <c r="X12" s="176"/>
      <c r="Y12" s="176"/>
      <c r="Z12" s="176"/>
      <c r="AA12" s="176"/>
    </row>
    <row r="13" spans="2:27" s="172" customFormat="1" ht="3.75" customHeight="1">
      <c r="B13" s="217"/>
      <c r="C13" s="181"/>
      <c r="D13" s="181"/>
      <c r="E13" s="181"/>
      <c r="F13" s="181"/>
      <c r="G13" s="181"/>
      <c r="H13" s="181"/>
      <c r="I13" s="181"/>
      <c r="J13" s="181"/>
      <c r="K13" s="181"/>
      <c r="L13" s="181"/>
      <c r="M13" s="181"/>
      <c r="N13" s="181"/>
      <c r="O13" s="181"/>
      <c r="P13" s="181"/>
      <c r="Q13" s="181"/>
      <c r="R13" s="181"/>
      <c r="S13" s="181"/>
      <c r="T13" s="181"/>
      <c r="U13" s="181"/>
      <c r="V13" s="181"/>
      <c r="W13" s="181"/>
      <c r="X13" s="181"/>
      <c r="Y13" s="181"/>
      <c r="Z13" s="181"/>
      <c r="AA13" s="181"/>
    </row>
    <row r="14" spans="1:27" s="175" customFormat="1" ht="15">
      <c r="A14" s="175" t="s">
        <v>106</v>
      </c>
      <c r="B14" s="211" t="s">
        <v>18</v>
      </c>
      <c r="C14" s="266" t="s">
        <v>107</v>
      </c>
      <c r="D14" s="269"/>
      <c r="E14" s="269"/>
      <c r="F14" s="269"/>
      <c r="G14" s="269"/>
      <c r="H14" s="269"/>
      <c r="I14" s="269"/>
      <c r="J14" s="269"/>
      <c r="K14" s="269"/>
      <c r="L14" s="269"/>
      <c r="M14" s="269"/>
      <c r="N14" s="269"/>
      <c r="O14" s="269"/>
      <c r="P14" s="269"/>
      <c r="Q14" s="269"/>
      <c r="R14" s="176"/>
      <c r="S14" s="176"/>
      <c r="T14" s="176"/>
      <c r="U14" s="176"/>
      <c r="V14" s="176"/>
      <c r="W14" s="176"/>
      <c r="X14" s="176"/>
      <c r="Y14" s="176"/>
      <c r="Z14" s="176"/>
      <c r="AA14" s="176"/>
    </row>
    <row r="15" spans="2:27" s="172" customFormat="1" ht="3.75" customHeight="1">
      <c r="B15" s="217"/>
      <c r="C15" s="181"/>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row>
    <row r="16" spans="1:27" s="175" customFormat="1" ht="15">
      <c r="A16" s="175" t="s">
        <v>108</v>
      </c>
      <c r="B16" s="211" t="s">
        <v>19</v>
      </c>
      <c r="C16" s="266" t="s">
        <v>109</v>
      </c>
      <c r="D16" s="269"/>
      <c r="E16" s="269"/>
      <c r="F16" s="269"/>
      <c r="G16" s="269"/>
      <c r="H16" s="269"/>
      <c r="I16" s="269"/>
      <c r="J16" s="269"/>
      <c r="K16" s="269"/>
      <c r="L16" s="269"/>
      <c r="M16" s="269"/>
      <c r="N16" s="269"/>
      <c r="O16" s="269"/>
      <c r="P16" s="269"/>
      <c r="Q16" s="269"/>
      <c r="R16" s="176"/>
      <c r="S16" s="176"/>
      <c r="T16" s="176"/>
      <c r="U16" s="176"/>
      <c r="V16" s="176"/>
      <c r="W16" s="176"/>
      <c r="X16" s="176"/>
      <c r="Y16" s="176"/>
      <c r="Z16" s="176"/>
      <c r="AA16" s="176"/>
    </row>
    <row r="17" spans="2:27" s="172" customFormat="1" ht="3.75" customHeight="1">
      <c r="B17" s="217"/>
      <c r="C17" s="181"/>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row>
    <row r="18" spans="1:27" s="175" customFormat="1" ht="15">
      <c r="A18" s="175" t="s">
        <v>110</v>
      </c>
      <c r="B18" s="211" t="s">
        <v>20</v>
      </c>
      <c r="C18" s="176"/>
      <c r="D18" s="176"/>
      <c r="E18" s="176"/>
      <c r="F18" s="176"/>
      <c r="G18" s="176"/>
      <c r="H18" s="176"/>
      <c r="I18" s="176"/>
      <c r="J18" s="176"/>
      <c r="K18" s="176"/>
      <c r="L18" s="176"/>
      <c r="M18" s="176"/>
      <c r="N18" s="176"/>
      <c r="O18" s="176"/>
      <c r="P18" s="176"/>
      <c r="Q18" s="176"/>
      <c r="R18" s="176"/>
      <c r="S18" s="176"/>
      <c r="T18" s="176"/>
      <c r="U18" s="176"/>
      <c r="V18" s="176"/>
      <c r="W18" s="176"/>
      <c r="X18" s="176"/>
      <c r="Y18" s="176"/>
      <c r="Z18" s="176"/>
      <c r="AA18" s="176"/>
    </row>
    <row r="19" spans="1:27" s="182" customFormat="1" ht="15">
      <c r="A19" s="182" t="s">
        <v>111</v>
      </c>
      <c r="B19" s="213" t="s">
        <v>211</v>
      </c>
      <c r="C19" s="183"/>
      <c r="D19" s="183"/>
      <c r="E19" s="183"/>
      <c r="F19" s="183"/>
      <c r="G19" s="183"/>
      <c r="H19" s="183"/>
      <c r="I19" s="183"/>
      <c r="J19" s="183"/>
      <c r="K19" s="183"/>
      <c r="L19" s="183"/>
      <c r="M19" s="183"/>
      <c r="N19" s="183"/>
      <c r="O19" s="183"/>
      <c r="P19" s="183"/>
      <c r="Q19" s="183"/>
      <c r="R19" s="183"/>
      <c r="S19" s="183"/>
      <c r="T19" s="183"/>
      <c r="U19" s="183"/>
      <c r="V19" s="183"/>
      <c r="W19" s="183"/>
      <c r="X19" s="183"/>
      <c r="Y19" s="183"/>
      <c r="Z19" s="183"/>
      <c r="AA19" s="183"/>
    </row>
    <row r="20" spans="1:27" ht="15">
      <c r="A20" s="177"/>
      <c r="B20" s="215" t="s">
        <v>21</v>
      </c>
      <c r="C20" s="283" t="s">
        <v>112</v>
      </c>
      <c r="D20" s="271"/>
      <c r="E20" s="271"/>
      <c r="F20" s="271"/>
      <c r="G20" s="271"/>
      <c r="H20" s="271"/>
      <c r="I20" s="271"/>
      <c r="J20" s="271"/>
      <c r="K20" s="271"/>
      <c r="L20" s="271"/>
      <c r="M20" s="271"/>
      <c r="N20" s="271"/>
      <c r="O20" s="271"/>
      <c r="P20" s="271"/>
      <c r="Q20" s="271"/>
      <c r="R20" s="271"/>
      <c r="S20" s="271"/>
      <c r="T20" s="271"/>
      <c r="U20" s="271"/>
      <c r="V20" s="271"/>
      <c r="W20" s="271"/>
      <c r="X20" s="271"/>
      <c r="Y20" s="271"/>
      <c r="Z20" s="271"/>
      <c r="AA20" s="271"/>
    </row>
    <row r="21" spans="1:27" ht="15">
      <c r="A21" s="177"/>
      <c r="B21" s="215" t="s">
        <v>22</v>
      </c>
      <c r="C21" s="283" t="s">
        <v>113</v>
      </c>
      <c r="D21" s="271"/>
      <c r="E21" s="271"/>
      <c r="F21" s="271"/>
      <c r="G21" s="271"/>
      <c r="H21" s="271"/>
      <c r="I21" s="271"/>
      <c r="J21" s="271"/>
      <c r="K21" s="271"/>
      <c r="L21" s="271"/>
      <c r="M21" s="271"/>
      <c r="N21" s="271"/>
      <c r="O21" s="271"/>
      <c r="P21" s="271"/>
      <c r="Q21" s="271"/>
      <c r="R21" s="271"/>
      <c r="S21" s="271"/>
      <c r="T21" s="271"/>
      <c r="U21" s="271"/>
      <c r="V21" s="271"/>
      <c r="W21" s="271"/>
      <c r="X21" s="271"/>
      <c r="Y21" s="271"/>
      <c r="Z21" s="271"/>
      <c r="AA21" s="271"/>
    </row>
    <row r="22" spans="1:27" s="182" customFormat="1" ht="15">
      <c r="A22" s="182" t="s">
        <v>114</v>
      </c>
      <c r="B22" s="213" t="s">
        <v>115</v>
      </c>
      <c r="C22" s="183"/>
      <c r="D22" s="183"/>
      <c r="E22" s="183"/>
      <c r="F22" s="183"/>
      <c r="G22" s="183"/>
      <c r="H22" s="183"/>
      <c r="I22" s="183"/>
      <c r="J22" s="183"/>
      <c r="K22" s="183"/>
      <c r="L22" s="183"/>
      <c r="M22" s="183"/>
      <c r="N22" s="183"/>
      <c r="O22" s="183"/>
      <c r="P22" s="183"/>
      <c r="Q22" s="183"/>
      <c r="R22" s="183"/>
      <c r="S22" s="183"/>
      <c r="T22" s="183"/>
      <c r="U22" s="183"/>
      <c r="V22" s="183"/>
      <c r="W22" s="183"/>
      <c r="X22" s="183"/>
      <c r="Y22" s="183"/>
      <c r="Z22" s="183"/>
      <c r="AA22" s="183"/>
    </row>
    <row r="23" spans="1:27" ht="15">
      <c r="A23" s="177"/>
      <c r="B23" s="215" t="s">
        <v>21</v>
      </c>
      <c r="C23" s="283" t="s">
        <v>116</v>
      </c>
      <c r="D23" s="271"/>
      <c r="E23" s="271"/>
      <c r="F23" s="271"/>
      <c r="G23" s="271"/>
      <c r="H23" s="271"/>
      <c r="I23" s="271"/>
      <c r="J23" s="271"/>
      <c r="K23" s="271"/>
      <c r="L23" s="271"/>
      <c r="M23" s="271"/>
      <c r="N23" s="271"/>
      <c r="O23" s="271"/>
      <c r="P23" s="271"/>
      <c r="Q23" s="271"/>
      <c r="R23" s="271"/>
      <c r="S23" s="271"/>
      <c r="T23" s="271"/>
      <c r="U23" s="271"/>
      <c r="V23" s="271"/>
      <c r="W23" s="271"/>
      <c r="X23" s="271"/>
      <c r="Y23" s="271"/>
      <c r="Z23" s="271"/>
      <c r="AA23" s="271"/>
    </row>
    <row r="24" spans="1:27" ht="15">
      <c r="A24" s="177"/>
      <c r="B24" s="215" t="s">
        <v>22</v>
      </c>
      <c r="C24" s="283" t="s">
        <v>117</v>
      </c>
      <c r="D24" s="271"/>
      <c r="E24" s="271"/>
      <c r="F24" s="271"/>
      <c r="G24" s="271"/>
      <c r="H24" s="271"/>
      <c r="I24" s="271"/>
      <c r="J24" s="271"/>
      <c r="K24" s="271"/>
      <c r="L24" s="271"/>
      <c r="M24" s="271"/>
      <c r="N24" s="271"/>
      <c r="O24" s="271"/>
      <c r="P24" s="271"/>
      <c r="Q24" s="271"/>
      <c r="R24" s="271"/>
      <c r="S24" s="271"/>
      <c r="T24" s="271"/>
      <c r="U24" s="271"/>
      <c r="V24" s="271"/>
      <c r="W24" s="271"/>
      <c r="X24" s="271"/>
      <c r="Y24" s="271"/>
      <c r="Z24" s="271"/>
      <c r="AA24" s="271"/>
    </row>
    <row r="25" spans="1:27" s="175" customFormat="1" ht="46.5" customHeight="1">
      <c r="A25" s="184" t="s">
        <v>118</v>
      </c>
      <c r="B25" s="214" t="s">
        <v>23</v>
      </c>
      <c r="C25" s="293" t="s">
        <v>119</v>
      </c>
      <c r="D25" s="294"/>
      <c r="E25" s="294"/>
      <c r="F25" s="294"/>
      <c r="G25" s="294"/>
      <c r="H25" s="294"/>
      <c r="I25" s="294"/>
      <c r="J25" s="294"/>
      <c r="K25" s="294"/>
      <c r="L25" s="294"/>
      <c r="M25" s="294"/>
      <c r="N25" s="294"/>
      <c r="O25" s="294"/>
      <c r="P25" s="294"/>
      <c r="Q25" s="294"/>
      <c r="R25" s="294"/>
      <c r="S25" s="294"/>
      <c r="T25" s="294"/>
      <c r="U25" s="294"/>
      <c r="V25" s="294"/>
      <c r="W25" s="294"/>
      <c r="X25" s="294"/>
      <c r="Y25" s="294"/>
      <c r="Z25" s="294"/>
      <c r="AA25" s="294"/>
    </row>
    <row r="26" spans="2:27" s="172" customFormat="1" ht="3.75" customHeight="1">
      <c r="B26" s="217"/>
      <c r="C26" s="181"/>
      <c r="D26" s="181"/>
      <c r="E26" s="181"/>
      <c r="F26" s="181"/>
      <c r="G26" s="181"/>
      <c r="H26" s="181"/>
      <c r="I26" s="181"/>
      <c r="J26" s="181"/>
      <c r="K26" s="181"/>
      <c r="L26" s="181"/>
      <c r="M26" s="181"/>
      <c r="N26" s="181"/>
      <c r="O26" s="181"/>
      <c r="P26" s="181"/>
      <c r="Q26" s="181"/>
      <c r="R26" s="181"/>
      <c r="S26" s="181"/>
      <c r="T26" s="181"/>
      <c r="U26" s="181"/>
      <c r="V26" s="181"/>
      <c r="W26" s="181"/>
      <c r="X26" s="181"/>
      <c r="Y26" s="181"/>
      <c r="Z26" s="181"/>
      <c r="AA26" s="181"/>
    </row>
    <row r="27" spans="1:27" s="175" customFormat="1" ht="15">
      <c r="A27" s="175" t="s">
        <v>120</v>
      </c>
      <c r="B27" s="211" t="s">
        <v>24</v>
      </c>
      <c r="C27" s="290" t="s">
        <v>121</v>
      </c>
      <c r="D27" s="291"/>
      <c r="E27" s="291"/>
      <c r="F27" s="291"/>
      <c r="G27" s="291"/>
      <c r="H27" s="291"/>
      <c r="I27" s="291"/>
      <c r="J27" s="291"/>
      <c r="K27" s="291"/>
      <c r="L27" s="291"/>
      <c r="M27" s="291"/>
      <c r="N27" s="291"/>
      <c r="O27" s="291"/>
      <c r="P27" s="291"/>
      <c r="Q27" s="291"/>
      <c r="R27" s="291"/>
      <c r="S27" s="291"/>
      <c r="T27" s="291"/>
      <c r="U27" s="291"/>
      <c r="V27" s="291"/>
      <c r="W27" s="291"/>
      <c r="X27" s="291"/>
      <c r="Y27" s="291"/>
      <c r="Z27" s="291"/>
      <c r="AA27" s="291"/>
    </row>
    <row r="28" spans="2:27" s="172" customFormat="1" ht="3.75" customHeight="1">
      <c r="B28" s="217"/>
      <c r="C28" s="181"/>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row>
    <row r="29" spans="1:27" s="175" customFormat="1" ht="15">
      <c r="A29" s="175" t="s">
        <v>122</v>
      </c>
      <c r="B29" s="211" t="s">
        <v>25</v>
      </c>
      <c r="C29" s="281" t="s">
        <v>123</v>
      </c>
      <c r="D29" s="282"/>
      <c r="E29" s="282"/>
      <c r="F29" s="282"/>
      <c r="G29" s="282"/>
      <c r="H29" s="282"/>
      <c r="I29" s="282"/>
      <c r="J29" s="282"/>
      <c r="K29" s="282"/>
      <c r="L29" s="282"/>
      <c r="M29" s="282"/>
      <c r="N29" s="282"/>
      <c r="O29" s="282"/>
      <c r="P29" s="282"/>
      <c r="Q29" s="282"/>
      <c r="R29" s="282"/>
      <c r="S29" s="282"/>
      <c r="T29" s="282"/>
      <c r="U29" s="282"/>
      <c r="V29" s="282"/>
      <c r="W29" s="282"/>
      <c r="X29" s="282"/>
      <c r="Y29" s="282"/>
      <c r="Z29" s="282"/>
      <c r="AA29" s="282"/>
    </row>
    <row r="30" s="185" customFormat="1" ht="15"/>
    <row r="31" spans="1:17" s="173" customFormat="1" ht="15">
      <c r="A31" s="173" t="s">
        <v>124</v>
      </c>
      <c r="B31" s="174" t="s">
        <v>79</v>
      </c>
      <c r="C31" s="186"/>
      <c r="D31" s="186"/>
      <c r="E31" s="186"/>
      <c r="F31" s="186"/>
      <c r="G31" s="186"/>
      <c r="H31" s="186"/>
      <c r="I31" s="186"/>
      <c r="J31" s="186"/>
      <c r="K31" s="186"/>
      <c r="L31" s="186"/>
      <c r="M31" s="186"/>
      <c r="N31" s="186"/>
      <c r="O31" s="186"/>
      <c r="P31" s="186"/>
      <c r="Q31" s="186"/>
    </row>
    <row r="32" s="172" customFormat="1" ht="3.75" customHeight="1"/>
    <row r="33" spans="1:27" s="175" customFormat="1" ht="15">
      <c r="A33" s="175" t="s">
        <v>125</v>
      </c>
      <c r="B33" s="211" t="s">
        <v>98</v>
      </c>
      <c r="C33" s="266" t="s">
        <v>126</v>
      </c>
      <c r="D33" s="267"/>
      <c r="E33" s="267"/>
      <c r="F33" s="267"/>
      <c r="G33" s="267"/>
      <c r="H33" s="267"/>
      <c r="I33" s="267"/>
      <c r="J33" s="267"/>
      <c r="K33" s="267"/>
      <c r="L33" s="267"/>
      <c r="M33" s="267"/>
      <c r="N33" s="267"/>
      <c r="O33" s="267"/>
      <c r="P33" s="267"/>
      <c r="Q33" s="267"/>
      <c r="R33" s="267"/>
      <c r="S33" s="267"/>
      <c r="T33" s="267"/>
      <c r="U33" s="267"/>
      <c r="V33" s="267"/>
      <c r="W33" s="267"/>
      <c r="X33" s="267"/>
      <c r="Y33" s="267"/>
      <c r="Z33" s="267"/>
      <c r="AA33" s="267"/>
    </row>
    <row r="34" spans="1:27" ht="15">
      <c r="A34" s="177"/>
      <c r="B34" s="215" t="s">
        <v>207</v>
      </c>
      <c r="C34" s="283" t="s">
        <v>212</v>
      </c>
      <c r="D34" s="271"/>
      <c r="E34" s="271"/>
      <c r="F34" s="271"/>
      <c r="G34" s="271"/>
      <c r="H34" s="271"/>
      <c r="I34" s="271"/>
      <c r="J34" s="271"/>
      <c r="K34" s="271"/>
      <c r="L34" s="271"/>
      <c r="M34" s="271"/>
      <c r="N34" s="271"/>
      <c r="O34" s="271"/>
      <c r="P34" s="271"/>
      <c r="Q34" s="271"/>
      <c r="R34" s="271"/>
      <c r="S34" s="271"/>
      <c r="T34" s="271"/>
      <c r="U34" s="271"/>
      <c r="V34" s="271"/>
      <c r="W34" s="271"/>
      <c r="X34" s="271"/>
      <c r="Y34" s="271"/>
      <c r="Z34" s="271"/>
      <c r="AA34" s="271"/>
    </row>
    <row r="35" spans="1:27" ht="15">
      <c r="A35" s="177"/>
      <c r="B35" s="215" t="s">
        <v>208</v>
      </c>
      <c r="C35" s="283" t="s">
        <v>213</v>
      </c>
      <c r="D35" s="271"/>
      <c r="E35" s="271"/>
      <c r="F35" s="271"/>
      <c r="G35" s="271"/>
      <c r="H35" s="271"/>
      <c r="I35" s="271"/>
      <c r="J35" s="271"/>
      <c r="K35" s="271"/>
      <c r="L35" s="271"/>
      <c r="M35" s="271"/>
      <c r="N35" s="271"/>
      <c r="O35" s="271"/>
      <c r="P35" s="271"/>
      <c r="Q35" s="271"/>
      <c r="R35" s="271"/>
      <c r="S35" s="271"/>
      <c r="T35" s="271"/>
      <c r="U35" s="271"/>
      <c r="V35" s="271"/>
      <c r="W35" s="271"/>
      <c r="X35" s="271"/>
      <c r="Y35" s="271"/>
      <c r="Z35" s="271"/>
      <c r="AA35" s="271"/>
    </row>
    <row r="36" spans="1:27" ht="15">
      <c r="A36" s="177"/>
      <c r="B36" s="215" t="s">
        <v>127</v>
      </c>
      <c r="C36" s="283" t="s">
        <v>128</v>
      </c>
      <c r="D36" s="271"/>
      <c r="E36" s="271"/>
      <c r="F36" s="271"/>
      <c r="G36" s="271"/>
      <c r="H36" s="271"/>
      <c r="I36" s="271"/>
      <c r="J36" s="271"/>
      <c r="K36" s="271"/>
      <c r="L36" s="271"/>
      <c r="M36" s="271"/>
      <c r="N36" s="271"/>
      <c r="O36" s="271"/>
      <c r="P36" s="271"/>
      <c r="Q36" s="271"/>
      <c r="R36" s="271"/>
      <c r="S36" s="271"/>
      <c r="T36" s="271"/>
      <c r="U36" s="271"/>
      <c r="V36" s="271"/>
      <c r="W36" s="271"/>
      <c r="X36" s="271"/>
      <c r="Y36" s="271"/>
      <c r="Z36" s="271"/>
      <c r="AA36" s="271"/>
    </row>
    <row r="37" spans="2:27" s="172" customFormat="1" ht="3.75" customHeight="1">
      <c r="B37" s="217"/>
      <c r="C37" s="187"/>
      <c r="D37" s="180"/>
      <c r="E37" s="180"/>
      <c r="F37" s="180"/>
      <c r="G37" s="180"/>
      <c r="H37" s="180"/>
      <c r="I37" s="180"/>
      <c r="J37" s="180"/>
      <c r="K37" s="180"/>
      <c r="L37" s="180"/>
      <c r="M37" s="180"/>
      <c r="N37" s="180"/>
      <c r="O37" s="180"/>
      <c r="P37" s="180"/>
      <c r="Q37" s="180"/>
      <c r="R37" s="180"/>
      <c r="S37" s="180"/>
      <c r="T37" s="180"/>
      <c r="U37" s="180"/>
      <c r="V37" s="180"/>
      <c r="W37" s="180"/>
      <c r="X37" s="180"/>
      <c r="Y37" s="180"/>
      <c r="Z37" s="180"/>
      <c r="AA37" s="180"/>
    </row>
    <row r="38" spans="1:27" ht="15">
      <c r="A38" s="175" t="s">
        <v>129</v>
      </c>
      <c r="B38" s="211" t="s">
        <v>101</v>
      </c>
      <c r="C38" s="266" t="s">
        <v>130</v>
      </c>
      <c r="D38" s="267"/>
      <c r="E38" s="267"/>
      <c r="F38" s="267"/>
      <c r="G38" s="267"/>
      <c r="H38" s="267"/>
      <c r="I38" s="267"/>
      <c r="J38" s="267"/>
      <c r="K38" s="267"/>
      <c r="L38" s="267"/>
      <c r="M38" s="267"/>
      <c r="N38" s="267"/>
      <c r="O38" s="267"/>
      <c r="P38" s="267"/>
      <c r="Q38" s="267"/>
      <c r="R38" s="267"/>
      <c r="S38" s="267"/>
      <c r="T38" s="267"/>
      <c r="U38" s="267"/>
      <c r="V38" s="267"/>
      <c r="W38" s="267"/>
      <c r="X38" s="267"/>
      <c r="Y38" s="267"/>
      <c r="Z38" s="267"/>
      <c r="AA38" s="267"/>
    </row>
    <row r="39" spans="2:27" s="172" customFormat="1" ht="2.25" customHeight="1">
      <c r="B39" s="217"/>
      <c r="C39" s="181"/>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row>
    <row r="40" spans="1:27" ht="15">
      <c r="A40" s="175" t="s">
        <v>131</v>
      </c>
      <c r="B40" s="211" t="s">
        <v>104</v>
      </c>
      <c r="C40" s="266" t="s">
        <v>132</v>
      </c>
      <c r="D40" s="267"/>
      <c r="E40" s="267"/>
      <c r="F40" s="267"/>
      <c r="G40" s="267"/>
      <c r="H40" s="267"/>
      <c r="I40" s="267"/>
      <c r="J40" s="267"/>
      <c r="K40" s="267"/>
      <c r="L40" s="267"/>
      <c r="M40" s="267"/>
      <c r="N40" s="267"/>
      <c r="O40" s="267"/>
      <c r="P40" s="267"/>
      <c r="Q40" s="267"/>
      <c r="R40" s="267"/>
      <c r="S40" s="267"/>
      <c r="T40" s="267"/>
      <c r="U40" s="267"/>
      <c r="V40" s="267"/>
      <c r="W40" s="267"/>
      <c r="X40" s="267"/>
      <c r="Y40" s="267"/>
      <c r="Z40" s="267"/>
      <c r="AA40" s="267"/>
    </row>
    <row r="41" spans="2:27" s="172" customFormat="1" ht="2.25" customHeight="1">
      <c r="B41" s="217"/>
      <c r="C41" s="181"/>
      <c r="D41" s="181"/>
      <c r="E41" s="181"/>
      <c r="F41" s="181"/>
      <c r="G41" s="181"/>
      <c r="H41" s="181"/>
      <c r="I41" s="181"/>
      <c r="J41" s="181"/>
      <c r="K41" s="181"/>
      <c r="L41" s="181"/>
      <c r="M41" s="181"/>
      <c r="N41" s="181"/>
      <c r="O41" s="181"/>
      <c r="P41" s="181"/>
      <c r="Q41" s="188"/>
      <c r="R41" s="181"/>
      <c r="S41" s="181"/>
      <c r="T41" s="181"/>
      <c r="U41" s="181"/>
      <c r="V41" s="181"/>
      <c r="W41" s="181"/>
      <c r="X41" s="181"/>
      <c r="Y41" s="181"/>
      <c r="Z41" s="181"/>
      <c r="AA41" s="181"/>
    </row>
    <row r="42" spans="1:27" ht="35.25" customHeight="1">
      <c r="A42" s="184" t="s">
        <v>133</v>
      </c>
      <c r="B42" s="214" t="s">
        <v>23</v>
      </c>
      <c r="C42" s="284" t="s">
        <v>134</v>
      </c>
      <c r="D42" s="285"/>
      <c r="E42" s="285"/>
      <c r="F42" s="285"/>
      <c r="G42" s="285"/>
      <c r="H42" s="285"/>
      <c r="I42" s="285"/>
      <c r="J42" s="285"/>
      <c r="K42" s="285"/>
      <c r="L42" s="285"/>
      <c r="M42" s="285"/>
      <c r="N42" s="285"/>
      <c r="O42" s="285"/>
      <c r="P42" s="285"/>
      <c r="Q42" s="285"/>
      <c r="R42" s="285"/>
      <c r="S42" s="285"/>
      <c r="T42" s="285"/>
      <c r="U42" s="285"/>
      <c r="V42" s="285"/>
      <c r="W42" s="285"/>
      <c r="X42" s="285"/>
      <c r="Y42" s="285"/>
      <c r="Z42" s="285"/>
      <c r="AA42" s="285"/>
    </row>
    <row r="43" spans="2:27" s="172" customFormat="1" ht="2.25" customHeight="1">
      <c r="B43" s="217"/>
      <c r="C43" s="181"/>
      <c r="D43" s="181"/>
      <c r="E43" s="181"/>
      <c r="F43" s="181"/>
      <c r="G43" s="181"/>
      <c r="H43" s="181"/>
      <c r="I43" s="181"/>
      <c r="J43" s="181"/>
      <c r="K43" s="181"/>
      <c r="L43" s="181"/>
      <c r="M43" s="181"/>
      <c r="N43" s="181"/>
      <c r="O43" s="181"/>
      <c r="P43" s="181"/>
      <c r="Q43" s="188"/>
      <c r="R43" s="181"/>
      <c r="S43" s="181"/>
      <c r="T43" s="181"/>
      <c r="U43" s="181"/>
      <c r="V43" s="181"/>
      <c r="W43" s="181"/>
      <c r="X43" s="181"/>
      <c r="Y43" s="181"/>
      <c r="Z43" s="181"/>
      <c r="AA43" s="181"/>
    </row>
    <row r="44" spans="1:27" ht="15">
      <c r="A44" s="175" t="s">
        <v>135</v>
      </c>
      <c r="B44" s="211" t="s">
        <v>36</v>
      </c>
      <c r="C44" s="281" t="s">
        <v>136</v>
      </c>
      <c r="D44" s="286"/>
      <c r="E44" s="286"/>
      <c r="F44" s="286"/>
      <c r="G44" s="286"/>
      <c r="H44" s="286"/>
      <c r="I44" s="286"/>
      <c r="J44" s="286"/>
      <c r="K44" s="286"/>
      <c r="L44" s="286"/>
      <c r="M44" s="286"/>
      <c r="N44" s="286"/>
      <c r="O44" s="286"/>
      <c r="P44" s="286"/>
      <c r="Q44" s="286"/>
      <c r="R44" s="286"/>
      <c r="S44" s="286"/>
      <c r="T44" s="286"/>
      <c r="U44" s="286"/>
      <c r="V44" s="286"/>
      <c r="W44" s="286"/>
      <c r="X44" s="286"/>
      <c r="Y44" s="286"/>
      <c r="Z44" s="286"/>
      <c r="AA44" s="286"/>
    </row>
    <row r="45" s="185" customFormat="1" ht="15"/>
    <row r="46" spans="1:17" s="173" customFormat="1" ht="15">
      <c r="A46" s="173" t="s">
        <v>137</v>
      </c>
      <c r="B46" s="174" t="s">
        <v>37</v>
      </c>
      <c r="C46" s="186"/>
      <c r="D46" s="186"/>
      <c r="E46" s="186"/>
      <c r="F46" s="186"/>
      <c r="G46" s="186"/>
      <c r="H46" s="186"/>
      <c r="I46" s="186"/>
      <c r="J46" s="186"/>
      <c r="K46" s="186"/>
      <c r="L46" s="186"/>
      <c r="M46" s="186"/>
      <c r="N46" s="186"/>
      <c r="O46" s="186"/>
      <c r="P46" s="186"/>
      <c r="Q46" s="186"/>
    </row>
    <row r="47" s="172" customFormat="1" ht="5.25" customHeight="1">
      <c r="Q47" s="170"/>
    </row>
    <row r="48" spans="1:27" s="175" customFormat="1" ht="15">
      <c r="A48" s="175" t="s">
        <v>138</v>
      </c>
      <c r="B48" s="211" t="s">
        <v>98</v>
      </c>
      <c r="C48" s="287" t="s">
        <v>139</v>
      </c>
      <c r="D48" s="267"/>
      <c r="E48" s="267"/>
      <c r="F48" s="267"/>
      <c r="G48" s="267"/>
      <c r="H48" s="267"/>
      <c r="I48" s="267"/>
      <c r="J48" s="267"/>
      <c r="K48" s="267"/>
      <c r="L48" s="267"/>
      <c r="M48" s="267"/>
      <c r="N48" s="267"/>
      <c r="O48" s="267"/>
      <c r="P48" s="267"/>
      <c r="Q48" s="267"/>
      <c r="R48" s="267"/>
      <c r="S48" s="267"/>
      <c r="T48" s="267"/>
      <c r="U48" s="267"/>
      <c r="V48" s="267"/>
      <c r="W48" s="267"/>
      <c r="X48" s="267"/>
      <c r="Y48" s="267"/>
      <c r="Z48" s="267"/>
      <c r="AA48" s="267"/>
    </row>
    <row r="49" spans="1:27" s="182" customFormat="1" ht="15">
      <c r="A49" s="182" t="s">
        <v>140</v>
      </c>
      <c r="B49" s="213" t="s">
        <v>141</v>
      </c>
      <c r="C49" s="288" t="s">
        <v>142</v>
      </c>
      <c r="D49" s="289"/>
      <c r="E49" s="289"/>
      <c r="F49" s="289"/>
      <c r="G49" s="289"/>
      <c r="H49" s="289"/>
      <c r="I49" s="289"/>
      <c r="J49" s="289"/>
      <c r="K49" s="289"/>
      <c r="L49" s="289"/>
      <c r="M49" s="289"/>
      <c r="N49" s="289"/>
      <c r="O49" s="289"/>
      <c r="P49" s="289"/>
      <c r="Q49" s="289"/>
      <c r="R49" s="289"/>
      <c r="S49" s="289"/>
      <c r="T49" s="289"/>
      <c r="U49" s="289"/>
      <c r="V49" s="289"/>
      <c r="W49" s="289"/>
      <c r="X49" s="289"/>
      <c r="Y49" s="289"/>
      <c r="Z49" s="289"/>
      <c r="AA49" s="289"/>
    </row>
    <row r="50" spans="2:27" s="172" customFormat="1" ht="3.75" customHeight="1">
      <c r="B50" s="217"/>
      <c r="C50" s="181"/>
      <c r="D50" s="181"/>
      <c r="E50" s="181"/>
      <c r="F50" s="181"/>
      <c r="G50" s="181"/>
      <c r="H50" s="181"/>
      <c r="I50" s="181"/>
      <c r="J50" s="181"/>
      <c r="K50" s="181"/>
      <c r="L50" s="181"/>
      <c r="M50" s="181"/>
      <c r="N50" s="181"/>
      <c r="O50" s="181"/>
      <c r="P50" s="181"/>
      <c r="Q50" s="188"/>
      <c r="R50" s="181"/>
      <c r="S50" s="181"/>
      <c r="T50" s="181"/>
      <c r="U50" s="181"/>
      <c r="V50" s="181"/>
      <c r="W50" s="181"/>
      <c r="X50" s="181"/>
      <c r="Y50" s="181"/>
      <c r="Z50" s="181"/>
      <c r="AA50" s="181"/>
    </row>
    <row r="51" spans="1:27" s="182" customFormat="1" ht="15">
      <c r="A51" s="182" t="s">
        <v>143</v>
      </c>
      <c r="B51" s="213" t="s">
        <v>144</v>
      </c>
      <c r="C51" s="280" t="s">
        <v>145</v>
      </c>
      <c r="D51" s="269"/>
      <c r="E51" s="269"/>
      <c r="F51" s="269"/>
      <c r="G51" s="269"/>
      <c r="H51" s="269"/>
      <c r="I51" s="269"/>
      <c r="J51" s="269"/>
      <c r="K51" s="269"/>
      <c r="L51" s="269"/>
      <c r="M51" s="269"/>
      <c r="N51" s="269"/>
      <c r="O51" s="269"/>
      <c r="P51" s="269"/>
      <c r="Q51" s="269"/>
      <c r="R51" s="269"/>
      <c r="S51" s="269"/>
      <c r="T51" s="269"/>
      <c r="U51" s="269"/>
      <c r="V51" s="269"/>
      <c r="W51" s="269"/>
      <c r="X51" s="269"/>
      <c r="Y51" s="269"/>
      <c r="Z51" s="269"/>
      <c r="AA51" s="269"/>
    </row>
    <row r="52" spans="1:27" ht="15">
      <c r="A52" s="177"/>
      <c r="B52" s="215" t="s">
        <v>214</v>
      </c>
      <c r="C52" s="275" t="s">
        <v>146</v>
      </c>
      <c r="D52" s="271"/>
      <c r="E52" s="271"/>
      <c r="F52" s="271"/>
      <c r="G52" s="271"/>
      <c r="H52" s="271"/>
      <c r="I52" s="271"/>
      <c r="J52" s="271"/>
      <c r="K52" s="271"/>
      <c r="L52" s="271"/>
      <c r="M52" s="271"/>
      <c r="N52" s="271"/>
      <c r="O52" s="271"/>
      <c r="P52" s="271"/>
      <c r="Q52" s="271"/>
      <c r="R52" s="271"/>
      <c r="S52" s="271"/>
      <c r="T52" s="271"/>
      <c r="U52" s="271"/>
      <c r="V52" s="271"/>
      <c r="W52" s="271"/>
      <c r="X52" s="271"/>
      <c r="Y52" s="271"/>
      <c r="Z52" s="271"/>
      <c r="AA52" s="271"/>
    </row>
    <row r="53" spans="1:27" ht="15">
      <c r="A53" s="177"/>
      <c r="B53" s="215" t="s">
        <v>83</v>
      </c>
      <c r="C53" s="275" t="s">
        <v>147</v>
      </c>
      <c r="D53" s="271"/>
      <c r="E53" s="271"/>
      <c r="F53" s="271"/>
      <c r="G53" s="271"/>
      <c r="H53" s="271"/>
      <c r="I53" s="271"/>
      <c r="J53" s="271"/>
      <c r="K53" s="271"/>
      <c r="L53" s="271"/>
      <c r="M53" s="271"/>
      <c r="N53" s="271"/>
      <c r="O53" s="271"/>
      <c r="P53" s="271"/>
      <c r="Q53" s="271"/>
      <c r="R53" s="271"/>
      <c r="S53" s="271"/>
      <c r="T53" s="271"/>
      <c r="U53" s="271"/>
      <c r="V53" s="271"/>
      <c r="W53" s="271"/>
      <c r="X53" s="271"/>
      <c r="Y53" s="271"/>
      <c r="Z53" s="271"/>
      <c r="AA53" s="271"/>
    </row>
    <row r="54" spans="1:27" ht="15">
      <c r="A54" s="177"/>
      <c r="B54" s="215" t="s">
        <v>215</v>
      </c>
      <c r="C54" s="275" t="s">
        <v>148</v>
      </c>
      <c r="D54" s="271"/>
      <c r="E54" s="271"/>
      <c r="F54" s="271"/>
      <c r="G54" s="271"/>
      <c r="H54" s="271"/>
      <c r="I54" s="271"/>
      <c r="J54" s="271"/>
      <c r="K54" s="271"/>
      <c r="L54" s="271"/>
      <c r="M54" s="271"/>
      <c r="N54" s="271"/>
      <c r="O54" s="271"/>
      <c r="P54" s="271"/>
      <c r="Q54" s="271"/>
      <c r="R54" s="271"/>
      <c r="S54" s="271"/>
      <c r="T54" s="271"/>
      <c r="U54" s="271"/>
      <c r="V54" s="271"/>
      <c r="W54" s="271"/>
      <c r="X54" s="271"/>
      <c r="Y54" s="271"/>
      <c r="Z54" s="271"/>
      <c r="AA54" s="271"/>
    </row>
    <row r="55" spans="2:27" s="172" customFormat="1" ht="3" customHeight="1">
      <c r="B55" s="217"/>
      <c r="C55" s="189"/>
      <c r="D55" s="180"/>
      <c r="E55" s="180"/>
      <c r="F55" s="180"/>
      <c r="G55" s="180"/>
      <c r="H55" s="180"/>
      <c r="I55" s="180"/>
      <c r="J55" s="180"/>
      <c r="K55" s="180"/>
      <c r="L55" s="180"/>
      <c r="M55" s="180"/>
      <c r="N55" s="180"/>
      <c r="O55" s="180"/>
      <c r="P55" s="180"/>
      <c r="Q55" s="180"/>
      <c r="R55" s="180"/>
      <c r="S55" s="180"/>
      <c r="T55" s="180"/>
      <c r="U55" s="180"/>
      <c r="V55" s="180"/>
      <c r="W55" s="180"/>
      <c r="X55" s="180"/>
      <c r="Y55" s="180"/>
      <c r="Z55" s="180"/>
      <c r="AA55" s="180"/>
    </row>
    <row r="56" spans="1:27" s="172" customFormat="1" ht="27.75" customHeight="1">
      <c r="A56" s="184" t="s">
        <v>149</v>
      </c>
      <c r="B56" s="214" t="s">
        <v>23</v>
      </c>
      <c r="C56" s="276" t="s">
        <v>150</v>
      </c>
      <c r="D56" s="277"/>
      <c r="E56" s="277"/>
      <c r="F56" s="277"/>
      <c r="G56" s="277"/>
      <c r="H56" s="277"/>
      <c r="I56" s="277"/>
      <c r="J56" s="277"/>
      <c r="K56" s="277"/>
      <c r="L56" s="277"/>
      <c r="M56" s="277"/>
      <c r="N56" s="277"/>
      <c r="O56" s="277"/>
      <c r="P56" s="277"/>
      <c r="Q56" s="277"/>
      <c r="R56" s="277"/>
      <c r="S56" s="277"/>
      <c r="T56" s="277"/>
      <c r="U56" s="277"/>
      <c r="V56" s="277"/>
      <c r="W56" s="277"/>
      <c r="X56" s="277"/>
      <c r="Y56" s="277"/>
      <c r="Z56" s="277"/>
      <c r="AA56" s="277"/>
    </row>
    <row r="57" spans="2:27" s="172" customFormat="1" ht="3" customHeight="1">
      <c r="B57" s="217"/>
      <c r="C57" s="189"/>
      <c r="D57" s="180"/>
      <c r="E57" s="180"/>
      <c r="F57" s="180"/>
      <c r="G57" s="180"/>
      <c r="H57" s="180"/>
      <c r="I57" s="180"/>
      <c r="J57" s="180"/>
      <c r="K57" s="180"/>
      <c r="L57" s="180"/>
      <c r="M57" s="180"/>
      <c r="N57" s="180"/>
      <c r="O57" s="180"/>
      <c r="P57" s="180"/>
      <c r="Q57" s="180"/>
      <c r="R57" s="180"/>
      <c r="S57" s="180"/>
      <c r="T57" s="180"/>
      <c r="U57" s="180"/>
      <c r="V57" s="180"/>
      <c r="W57" s="180"/>
      <c r="X57" s="180"/>
      <c r="Y57" s="180"/>
      <c r="Z57" s="180"/>
      <c r="AA57" s="180"/>
    </row>
    <row r="58" spans="1:27" s="175" customFormat="1" ht="15">
      <c r="A58" s="175" t="s">
        <v>151</v>
      </c>
      <c r="B58" s="211" t="s">
        <v>85</v>
      </c>
      <c r="C58" s="278" t="s">
        <v>152</v>
      </c>
      <c r="D58" s="279"/>
      <c r="E58" s="279"/>
      <c r="F58" s="279"/>
      <c r="G58" s="279"/>
      <c r="H58" s="279"/>
      <c r="I58" s="279"/>
      <c r="J58" s="279"/>
      <c r="K58" s="279"/>
      <c r="L58" s="279"/>
      <c r="M58" s="279"/>
      <c r="N58" s="279"/>
      <c r="O58" s="279"/>
      <c r="P58" s="279"/>
      <c r="Q58" s="279"/>
      <c r="R58" s="279"/>
      <c r="S58" s="279"/>
      <c r="T58" s="279"/>
      <c r="U58" s="279"/>
      <c r="V58" s="279"/>
      <c r="W58" s="279"/>
      <c r="X58" s="279"/>
      <c r="Y58" s="279"/>
      <c r="Z58" s="279"/>
      <c r="AA58" s="279"/>
    </row>
    <row r="59" s="190" customFormat="1" ht="15"/>
    <row r="60" spans="1:17" s="173" customFormat="1" ht="15">
      <c r="A60" s="173" t="s">
        <v>153</v>
      </c>
      <c r="B60" s="174" t="s">
        <v>60</v>
      </c>
      <c r="C60" s="186"/>
      <c r="D60" s="186"/>
      <c r="E60" s="186"/>
      <c r="F60" s="186"/>
      <c r="G60" s="186"/>
      <c r="H60" s="186"/>
      <c r="I60" s="186"/>
      <c r="J60" s="186"/>
      <c r="K60" s="186"/>
      <c r="L60" s="186"/>
      <c r="M60" s="186"/>
      <c r="N60" s="186"/>
      <c r="O60" s="186"/>
      <c r="P60" s="186"/>
      <c r="Q60" s="186"/>
    </row>
    <row r="61" s="172" customFormat="1" ht="4.5" customHeight="1">
      <c r="Q61" s="170"/>
    </row>
    <row r="62" spans="1:27" s="175" customFormat="1" ht="15">
      <c r="A62" s="175" t="s">
        <v>154</v>
      </c>
      <c r="B62" s="211" t="s">
        <v>155</v>
      </c>
      <c r="C62" s="266" t="s">
        <v>156</v>
      </c>
      <c r="D62" s="267"/>
      <c r="E62" s="267"/>
      <c r="F62" s="267"/>
      <c r="G62" s="267"/>
      <c r="H62" s="267"/>
      <c r="I62" s="267"/>
      <c r="J62" s="267"/>
      <c r="K62" s="267"/>
      <c r="L62" s="267"/>
      <c r="M62" s="267"/>
      <c r="N62" s="267"/>
      <c r="O62" s="267"/>
      <c r="P62" s="267"/>
      <c r="Q62" s="267"/>
      <c r="R62" s="267"/>
      <c r="S62" s="267"/>
      <c r="T62" s="267"/>
      <c r="U62" s="267"/>
      <c r="V62" s="267"/>
      <c r="W62" s="267"/>
      <c r="X62" s="267"/>
      <c r="Y62" s="267"/>
      <c r="Z62" s="267"/>
      <c r="AA62" s="267"/>
    </row>
    <row r="63" spans="1:27" s="182" customFormat="1" ht="15">
      <c r="A63" s="182" t="s">
        <v>157</v>
      </c>
      <c r="B63" s="213" t="s">
        <v>158</v>
      </c>
      <c r="C63" s="268" t="s">
        <v>159</v>
      </c>
      <c r="D63" s="269"/>
      <c r="E63" s="269"/>
      <c r="F63" s="269"/>
      <c r="G63" s="269"/>
      <c r="H63" s="269"/>
      <c r="I63" s="269"/>
      <c r="J63" s="269"/>
      <c r="K63" s="269"/>
      <c r="L63" s="269"/>
      <c r="M63" s="269"/>
      <c r="N63" s="269"/>
      <c r="O63" s="269"/>
      <c r="P63" s="269"/>
      <c r="Q63" s="269"/>
      <c r="R63" s="269"/>
      <c r="S63" s="269"/>
      <c r="T63" s="269"/>
      <c r="U63" s="269"/>
      <c r="V63" s="269"/>
      <c r="W63" s="269"/>
      <c r="X63" s="269"/>
      <c r="Y63" s="269"/>
      <c r="Z63" s="269"/>
      <c r="AA63" s="269"/>
    </row>
    <row r="64" spans="1:27" s="182" customFormat="1" ht="15">
      <c r="A64" s="182" t="s">
        <v>160</v>
      </c>
      <c r="B64" s="213" t="s">
        <v>161</v>
      </c>
      <c r="C64" s="268" t="s">
        <v>162</v>
      </c>
      <c r="D64" s="269"/>
      <c r="E64" s="269"/>
      <c r="F64" s="269"/>
      <c r="G64" s="269"/>
      <c r="H64" s="269"/>
      <c r="I64" s="269"/>
      <c r="J64" s="269"/>
      <c r="K64" s="269"/>
      <c r="L64" s="269"/>
      <c r="M64" s="269"/>
      <c r="N64" s="269"/>
      <c r="O64" s="269"/>
      <c r="P64" s="269"/>
      <c r="Q64" s="269"/>
      <c r="R64" s="269"/>
      <c r="S64" s="269"/>
      <c r="T64" s="269"/>
      <c r="U64" s="269"/>
      <c r="V64" s="269"/>
      <c r="W64" s="269"/>
      <c r="X64" s="269"/>
      <c r="Y64" s="269"/>
      <c r="Z64" s="269"/>
      <c r="AA64" s="269"/>
    </row>
    <row r="65" spans="1:27" ht="15">
      <c r="A65" s="182" t="s">
        <v>163</v>
      </c>
      <c r="B65" s="213" t="s">
        <v>164</v>
      </c>
      <c r="C65" s="272" t="s">
        <v>165</v>
      </c>
      <c r="D65" s="269"/>
      <c r="E65" s="269"/>
      <c r="F65" s="269"/>
      <c r="G65" s="269"/>
      <c r="H65" s="269"/>
      <c r="I65" s="269"/>
      <c r="J65" s="269"/>
      <c r="K65" s="269"/>
      <c r="L65" s="269"/>
      <c r="M65" s="269"/>
      <c r="N65" s="269"/>
      <c r="O65" s="269"/>
      <c r="P65" s="269"/>
      <c r="Q65" s="269"/>
      <c r="R65" s="269"/>
      <c r="S65" s="269"/>
      <c r="T65" s="269"/>
      <c r="U65" s="269"/>
      <c r="V65" s="269"/>
      <c r="W65" s="269"/>
      <c r="X65" s="269"/>
      <c r="Y65" s="269"/>
      <c r="Z65" s="269"/>
      <c r="AA65" s="269"/>
    </row>
    <row r="66" spans="2:27" s="172" customFormat="1" ht="3" customHeight="1">
      <c r="B66" s="217"/>
      <c r="C66" s="191"/>
      <c r="D66" s="180"/>
      <c r="E66" s="180"/>
      <c r="F66" s="180"/>
      <c r="G66" s="180"/>
      <c r="H66" s="180"/>
      <c r="I66" s="180"/>
      <c r="J66" s="180"/>
      <c r="K66" s="180"/>
      <c r="L66" s="180"/>
      <c r="M66" s="180"/>
      <c r="N66" s="180"/>
      <c r="O66" s="180"/>
      <c r="P66" s="180"/>
      <c r="Q66" s="180"/>
      <c r="R66" s="180"/>
      <c r="S66" s="180"/>
      <c r="T66" s="180"/>
      <c r="U66" s="180"/>
      <c r="V66" s="180"/>
      <c r="W66" s="180"/>
      <c r="X66" s="180"/>
      <c r="Y66" s="180"/>
      <c r="Z66" s="180"/>
      <c r="AA66" s="180"/>
    </row>
    <row r="67" spans="1:27" ht="24" customHeight="1">
      <c r="A67" s="184" t="s">
        <v>166</v>
      </c>
      <c r="B67" s="214" t="s">
        <v>23</v>
      </c>
      <c r="C67" s="273" t="s">
        <v>167</v>
      </c>
      <c r="D67" s="274"/>
      <c r="E67" s="274"/>
      <c r="F67" s="274"/>
      <c r="G67" s="274"/>
      <c r="H67" s="274"/>
      <c r="I67" s="274"/>
      <c r="J67" s="274"/>
      <c r="K67" s="274"/>
      <c r="L67" s="274"/>
      <c r="M67" s="274"/>
      <c r="N67" s="274"/>
      <c r="O67" s="274"/>
      <c r="P67" s="274"/>
      <c r="Q67" s="274"/>
      <c r="R67" s="274"/>
      <c r="S67" s="274"/>
      <c r="T67" s="274"/>
      <c r="U67" s="274"/>
      <c r="V67" s="274"/>
      <c r="W67" s="274"/>
      <c r="X67" s="274"/>
      <c r="Y67" s="274"/>
      <c r="Z67" s="274"/>
      <c r="AA67" s="274"/>
    </row>
    <row r="68" s="185" customFormat="1" ht="15"/>
    <row r="69" spans="1:17" s="173" customFormat="1" ht="15">
      <c r="A69" s="173" t="s">
        <v>168</v>
      </c>
      <c r="B69" s="174" t="s">
        <v>68</v>
      </c>
      <c r="C69" s="186"/>
      <c r="D69" s="186"/>
      <c r="E69" s="186"/>
      <c r="F69" s="186"/>
      <c r="G69" s="186"/>
      <c r="H69" s="186"/>
      <c r="I69" s="186"/>
      <c r="J69" s="186"/>
      <c r="K69" s="186"/>
      <c r="L69" s="186"/>
      <c r="M69" s="186"/>
      <c r="N69" s="186"/>
      <c r="O69" s="186"/>
      <c r="P69" s="186"/>
      <c r="Q69" s="186"/>
    </row>
    <row r="70" spans="1:27" ht="4.5" customHeight="1">
      <c r="A70" s="209"/>
      <c r="B70" s="209"/>
      <c r="C70" s="209"/>
      <c r="D70" s="209"/>
      <c r="E70" s="209"/>
      <c r="F70" s="209"/>
      <c r="G70" s="209"/>
      <c r="H70" s="209"/>
      <c r="I70" s="209"/>
      <c r="J70" s="209"/>
      <c r="K70" s="209"/>
      <c r="L70" s="209"/>
      <c r="M70" s="209"/>
      <c r="N70" s="209"/>
      <c r="O70" s="209"/>
      <c r="P70" s="209"/>
      <c r="Q70" s="3"/>
      <c r="R70" s="209"/>
      <c r="S70" s="209"/>
      <c r="T70" s="209"/>
      <c r="U70" s="209"/>
      <c r="V70" s="209"/>
      <c r="W70" s="209"/>
      <c r="X70" s="209"/>
      <c r="Y70" s="209"/>
      <c r="Z70" s="209"/>
      <c r="AA70" s="209"/>
    </row>
    <row r="71" spans="1:17" s="175" customFormat="1" ht="15">
      <c r="A71" s="175" t="s">
        <v>169</v>
      </c>
      <c r="B71" s="211" t="s">
        <v>92</v>
      </c>
      <c r="Q71" s="192"/>
    </row>
    <row r="72" spans="1:27" ht="15">
      <c r="A72" s="177"/>
      <c r="B72" s="215" t="s">
        <v>216</v>
      </c>
      <c r="C72" s="270" t="s">
        <v>170</v>
      </c>
      <c r="D72" s="271"/>
      <c r="E72" s="271"/>
      <c r="F72" s="271"/>
      <c r="G72" s="271"/>
      <c r="H72" s="271"/>
      <c r="I72" s="271"/>
      <c r="J72" s="271"/>
      <c r="K72" s="271"/>
      <c r="L72" s="271"/>
      <c r="M72" s="271"/>
      <c r="N72" s="271"/>
      <c r="O72" s="271"/>
      <c r="P72" s="271"/>
      <c r="Q72" s="271"/>
      <c r="R72" s="271"/>
      <c r="S72" s="271"/>
      <c r="T72" s="271"/>
      <c r="U72" s="271"/>
      <c r="V72" s="271"/>
      <c r="W72" s="271"/>
      <c r="X72" s="271"/>
      <c r="Y72" s="271"/>
      <c r="Z72" s="271"/>
      <c r="AA72" s="271"/>
    </row>
    <row r="73" spans="1:27" ht="15">
      <c r="A73" s="177"/>
      <c r="B73" s="215" t="s">
        <v>93</v>
      </c>
      <c r="C73" s="270" t="s">
        <v>171</v>
      </c>
      <c r="D73" s="271"/>
      <c r="E73" s="271"/>
      <c r="F73" s="271"/>
      <c r="G73" s="271"/>
      <c r="H73" s="271"/>
      <c r="I73" s="271"/>
      <c r="J73" s="271"/>
      <c r="K73" s="271"/>
      <c r="L73" s="271"/>
      <c r="M73" s="271"/>
      <c r="N73" s="271"/>
      <c r="O73" s="271"/>
      <c r="P73" s="271"/>
      <c r="Q73" s="271"/>
      <c r="R73" s="271"/>
      <c r="S73" s="271"/>
      <c r="T73" s="271"/>
      <c r="U73" s="271"/>
      <c r="V73" s="271"/>
      <c r="W73" s="271"/>
      <c r="X73" s="271"/>
      <c r="Y73" s="271"/>
      <c r="Z73" s="271"/>
      <c r="AA73" s="271"/>
    </row>
    <row r="74" spans="1:27" ht="15">
      <c r="A74" s="177"/>
      <c r="B74" s="215" t="s">
        <v>94</v>
      </c>
      <c r="C74" s="270" t="s">
        <v>172</v>
      </c>
      <c r="D74" s="271"/>
      <c r="E74" s="271"/>
      <c r="F74" s="271"/>
      <c r="G74" s="271"/>
      <c r="H74" s="271"/>
      <c r="I74" s="271"/>
      <c r="J74" s="271"/>
      <c r="K74" s="271"/>
      <c r="L74" s="271"/>
      <c r="M74" s="271"/>
      <c r="N74" s="271"/>
      <c r="O74" s="271"/>
      <c r="P74" s="271"/>
      <c r="Q74" s="271"/>
      <c r="R74" s="271"/>
      <c r="S74" s="271"/>
      <c r="T74" s="271"/>
      <c r="U74" s="271"/>
      <c r="V74" s="271"/>
      <c r="W74" s="271"/>
      <c r="X74" s="271"/>
      <c r="Y74" s="271"/>
      <c r="Z74" s="271"/>
      <c r="AA74" s="271"/>
    </row>
    <row r="75" spans="1:27" ht="15">
      <c r="A75" s="177"/>
      <c r="B75" s="215" t="s">
        <v>95</v>
      </c>
      <c r="C75" s="193" t="s">
        <v>217</v>
      </c>
      <c r="D75" s="193"/>
      <c r="E75" s="193"/>
      <c r="F75" s="193"/>
      <c r="G75" s="193"/>
      <c r="H75" s="193"/>
      <c r="I75" s="193"/>
      <c r="J75" s="193"/>
      <c r="K75" s="193"/>
      <c r="L75" s="193"/>
      <c r="M75" s="193"/>
      <c r="N75" s="193"/>
      <c r="O75" s="193"/>
      <c r="P75" s="193"/>
      <c r="Q75" s="193"/>
      <c r="R75" s="193"/>
      <c r="S75" s="193"/>
      <c r="T75" s="193"/>
      <c r="U75" s="193"/>
      <c r="V75" s="193"/>
      <c r="W75" s="193"/>
      <c r="X75" s="193"/>
      <c r="Y75" s="193"/>
      <c r="Z75" s="193"/>
      <c r="AA75" s="193"/>
    </row>
    <row r="76" s="185" customFormat="1" ht="15"/>
  </sheetData>
  <sheetProtection password="FF63" sheet="1" objects="1" scenarios="1"/>
  <mergeCells count="37">
    <mergeCell ref="C27:AA27"/>
    <mergeCell ref="C7:AA7"/>
    <mergeCell ref="C8:AA8"/>
    <mergeCell ref="C10:Q10"/>
    <mergeCell ref="C12:Q12"/>
    <mergeCell ref="C14:Q14"/>
    <mergeCell ref="C16:Q16"/>
    <mergeCell ref="C20:AA20"/>
    <mergeCell ref="C21:AA21"/>
    <mergeCell ref="C23:AA23"/>
    <mergeCell ref="C24:AA24"/>
    <mergeCell ref="C25:AA25"/>
    <mergeCell ref="C51:AA51"/>
    <mergeCell ref="C29:AA29"/>
    <mergeCell ref="C33:AA33"/>
    <mergeCell ref="C34:AA34"/>
    <mergeCell ref="C35:AA35"/>
    <mergeCell ref="C36:AA36"/>
    <mergeCell ref="C38:AA38"/>
    <mergeCell ref="C40:AA40"/>
    <mergeCell ref="C42:AA42"/>
    <mergeCell ref="C44:AA44"/>
    <mergeCell ref="C48:AA48"/>
    <mergeCell ref="C49:AA49"/>
    <mergeCell ref="C52:AA52"/>
    <mergeCell ref="C53:AA53"/>
    <mergeCell ref="C54:AA54"/>
    <mergeCell ref="C56:AA56"/>
    <mergeCell ref="C58:AA58"/>
    <mergeCell ref="C62:AA62"/>
    <mergeCell ref="C63:AA63"/>
    <mergeCell ref="C64:AA64"/>
    <mergeCell ref="C74:AA74"/>
    <mergeCell ref="C65:AA65"/>
    <mergeCell ref="C67:AA67"/>
    <mergeCell ref="C72:AA72"/>
    <mergeCell ref="C73:AA73"/>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O7"/>
  <sheetViews>
    <sheetView view="pageBreakPreview" zoomScaleSheetLayoutView="100" zoomScalePageLayoutView="0" workbookViewId="0" topLeftCell="A1">
      <selection activeCell="A7" sqref="A7:O7"/>
    </sheetView>
  </sheetViews>
  <sheetFormatPr defaultColWidth="9.140625" defaultRowHeight="15"/>
  <sheetData>
    <row r="1" spans="1:15" ht="15">
      <c r="A1" s="298" t="s">
        <v>173</v>
      </c>
      <c r="B1" s="299"/>
      <c r="C1" s="299"/>
      <c r="D1" s="299"/>
      <c r="E1" s="299"/>
      <c r="F1" s="299"/>
      <c r="G1" s="299"/>
      <c r="H1" s="299"/>
      <c r="I1" s="299"/>
      <c r="J1" s="299"/>
      <c r="K1" s="299"/>
      <c r="L1" s="299"/>
      <c r="M1" s="299"/>
      <c r="N1" s="299"/>
      <c r="O1" s="300"/>
    </row>
    <row r="2" spans="1:15" ht="4.5" customHeight="1">
      <c r="A2" s="169"/>
      <c r="B2" s="170"/>
      <c r="C2" s="170"/>
      <c r="D2" s="170"/>
      <c r="E2" s="170"/>
      <c r="F2" s="170"/>
      <c r="G2" s="170"/>
      <c r="H2" s="170"/>
      <c r="I2" s="170"/>
      <c r="J2" s="170"/>
      <c r="K2" s="170"/>
      <c r="L2" s="170"/>
      <c r="M2" s="170"/>
      <c r="N2" s="170"/>
      <c r="O2" s="171"/>
    </row>
    <row r="3" spans="1:15" ht="22.5" customHeight="1">
      <c r="A3" s="301" t="s">
        <v>174</v>
      </c>
      <c r="B3" s="302"/>
      <c r="C3" s="302"/>
      <c r="D3" s="302"/>
      <c r="E3" s="302"/>
      <c r="F3" s="302"/>
      <c r="G3" s="302"/>
      <c r="H3" s="302"/>
      <c r="I3" s="302"/>
      <c r="J3" s="302"/>
      <c r="K3" s="302"/>
      <c r="L3" s="302"/>
      <c r="M3" s="302"/>
      <c r="N3" s="302"/>
      <c r="O3" s="303"/>
    </row>
    <row r="4" spans="1:15" ht="59.25" customHeight="1">
      <c r="A4" s="304" t="s">
        <v>175</v>
      </c>
      <c r="B4" s="302"/>
      <c r="C4" s="302"/>
      <c r="D4" s="302"/>
      <c r="E4" s="302"/>
      <c r="F4" s="302"/>
      <c r="G4" s="302"/>
      <c r="H4" s="302"/>
      <c r="I4" s="302"/>
      <c r="J4" s="302"/>
      <c r="K4" s="302"/>
      <c r="L4" s="302"/>
      <c r="M4" s="302"/>
      <c r="N4" s="302"/>
      <c r="O4" s="303"/>
    </row>
    <row r="5" spans="1:15" ht="39.75" customHeight="1">
      <c r="A5" s="304" t="s">
        <v>176</v>
      </c>
      <c r="B5" s="302"/>
      <c r="C5" s="302"/>
      <c r="D5" s="302"/>
      <c r="E5" s="302"/>
      <c r="F5" s="302"/>
      <c r="G5" s="302"/>
      <c r="H5" s="302"/>
      <c r="I5" s="302"/>
      <c r="J5" s="302"/>
      <c r="K5" s="302"/>
      <c r="L5" s="302"/>
      <c r="M5" s="302"/>
      <c r="N5" s="302"/>
      <c r="O5" s="303"/>
    </row>
    <row r="6" spans="1:15" ht="21.75" customHeight="1">
      <c r="A6" s="305" t="s">
        <v>177</v>
      </c>
      <c r="B6" s="306"/>
      <c r="C6" s="306"/>
      <c r="D6" s="306"/>
      <c r="E6" s="306"/>
      <c r="F6" s="306"/>
      <c r="G6" s="306"/>
      <c r="H6" s="306"/>
      <c r="I6" s="306"/>
      <c r="J6" s="306"/>
      <c r="K6" s="306"/>
      <c r="L6" s="306"/>
      <c r="M6" s="306"/>
      <c r="N6" s="306"/>
      <c r="O6" s="307"/>
    </row>
    <row r="7" spans="1:15" ht="54.75" customHeight="1" thickBot="1">
      <c r="A7" s="295" t="s">
        <v>178</v>
      </c>
      <c r="B7" s="296"/>
      <c r="C7" s="296"/>
      <c r="D7" s="296"/>
      <c r="E7" s="296"/>
      <c r="F7" s="296"/>
      <c r="G7" s="296"/>
      <c r="H7" s="296"/>
      <c r="I7" s="296"/>
      <c r="J7" s="296"/>
      <c r="K7" s="296"/>
      <c r="L7" s="296"/>
      <c r="M7" s="296"/>
      <c r="N7" s="296"/>
      <c r="O7" s="297"/>
    </row>
  </sheetData>
  <sheetProtection password="FF63" sheet="1" objects="1" scenarios="1"/>
  <mergeCells count="6">
    <mergeCell ref="A7:O7"/>
    <mergeCell ref="A1:O1"/>
    <mergeCell ref="A3:O3"/>
    <mergeCell ref="A4:O4"/>
    <mergeCell ref="A5:O5"/>
    <mergeCell ref="A6:O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Malta Communications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Roderick Gusman</dc:creator>
  <cp:keywords/>
  <dc:description/>
  <cp:lastModifiedBy>Sharon Scerri</cp:lastModifiedBy>
  <cp:lastPrinted>2013-03-08T09:10:14Z</cp:lastPrinted>
  <dcterms:created xsi:type="dcterms:W3CDTF">2012-09-04T07:41:39Z</dcterms:created>
  <dcterms:modified xsi:type="dcterms:W3CDTF">2014-09-19T09:05:49Z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0x01010058DDEB47312E4967BFC1576B96E8C3D400CEC549C1F641DA4B95C15FBF1A268340</vt:lpwstr>
  </property>
  <property fmtid="{D5CDD505-2E9C-101B-9397-08002B2CF9AE}" pid="3" name="ReportCreatedBy">
    <vt:lpwstr/>
  </property>
  <property fmtid="{D5CDD505-2E9C-101B-9397-08002B2CF9AE}" pid="4" name="ReportCategory">
    <vt:lpwstr/>
  </property>
  <property fmtid="{D5CDD505-2E9C-101B-9397-08002B2CF9AE}" pid="5" name="ReportCreated">
    <vt:lpwstr/>
  </property>
  <property fmtid="{D5CDD505-2E9C-101B-9397-08002B2CF9AE}" pid="6" name="ReportStatus">
    <vt:lpwstr/>
  </property>
  <property fmtid="{D5CDD505-2E9C-101B-9397-08002B2CF9AE}" pid="7" name="SaveToReportHistory">
    <vt:lpwstr>0</vt:lpwstr>
  </property>
  <property fmtid="{D5CDD505-2E9C-101B-9397-08002B2CF9AE}" pid="8" name="ParentId">
    <vt:lpwstr/>
  </property>
  <property fmtid="{D5CDD505-2E9C-101B-9397-08002B2CF9AE}" pid="9" name="ReportDescription">
    <vt:lpwstr/>
  </property>
  <property fmtid="{D5CDD505-2E9C-101B-9397-08002B2CF9AE}" pid="10" name="ReportModified">
    <vt:lpwstr/>
  </property>
  <property fmtid="{D5CDD505-2E9C-101B-9397-08002B2CF9AE}" pid="11" name="ReportOwner">
    <vt:lpwstr/>
  </property>
  <property fmtid="{D5CDD505-2E9C-101B-9397-08002B2CF9AE}" pid="12" name="ReportModifiedBy">
    <vt:lpwstr/>
  </property>
  <property fmtid="{D5CDD505-2E9C-101B-9397-08002B2CF9AE}" pid="13" name="PROP_Year_From">
    <vt:lpwstr/>
  </property>
</Properties>
</file>