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5480" windowHeight="8265" activeTab="0"/>
  </bookViews>
  <sheets>
    <sheet name="QUARTERLY STATS - ABs + SHARES" sheetId="1" r:id="rId1"/>
    <sheet name="ANNUAL STATS" sheetId="2" r:id="rId2"/>
    <sheet name="NOTES" sheetId="3" r:id="rId3"/>
    <sheet name="LEGAL DISCLAIMER" sheetId="4" r:id="rId4"/>
  </sheets>
  <definedNames>
    <definedName name="_xlfn.COMPOUNDVALUE" hidden="1">#NAME?</definedName>
  </definedNames>
  <calcPr fullCalcOnLoad="1"/>
</workbook>
</file>

<file path=xl/sharedStrings.xml><?xml version="1.0" encoding="utf-8"?>
<sst xmlns="http://schemas.openxmlformats.org/spreadsheetml/2006/main" count="377" uniqueCount="231">
  <si>
    <t>Q1</t>
  </si>
  <si>
    <t>Q2</t>
  </si>
  <si>
    <t>Q3</t>
  </si>
  <si>
    <t>Q4</t>
  </si>
  <si>
    <t>Mobile Telephony</t>
  </si>
  <si>
    <t>Mobile penetration rate (%)</t>
  </si>
  <si>
    <t>Fixed Line Telephony</t>
  </si>
  <si>
    <t>Internet</t>
  </si>
  <si>
    <t>Pay TV</t>
  </si>
  <si>
    <t>Post</t>
  </si>
  <si>
    <t>Active subscriptions</t>
  </si>
  <si>
    <t>Outgoing voice calls</t>
  </si>
  <si>
    <t>Outgoing SMSs</t>
  </si>
  <si>
    <t>Average revenue per user (ARPU, €)</t>
  </si>
  <si>
    <t>KEY MARKET INDICATORS</t>
  </si>
  <si>
    <t xml:space="preserve">Postal mail volumes  </t>
  </si>
  <si>
    <t>Active Internet subscriptions</t>
  </si>
  <si>
    <t>Active Pay TV subscriptions</t>
  </si>
  <si>
    <t xml:space="preserve"> outbound roaming activity </t>
  </si>
  <si>
    <t xml:space="preserve"> Inbound roaming activity</t>
  </si>
  <si>
    <t xml:space="preserve"> analogue subscriptions</t>
  </si>
  <si>
    <t xml:space="preserve"> broadband subscriptions</t>
  </si>
  <si>
    <t xml:space="preserve"> dial-up subscriptions</t>
  </si>
  <si>
    <t xml:space="preserve">   DTTV subscriptions</t>
  </si>
  <si>
    <t xml:space="preserve">   cable subscriptions</t>
  </si>
  <si>
    <t xml:space="preserve"> digital subscriptions</t>
  </si>
  <si>
    <t xml:space="preserve">   letter post items</t>
  </si>
  <si>
    <t xml:space="preserve">   bulk mail items</t>
  </si>
  <si>
    <t xml:space="preserve">   registered mail items</t>
  </si>
  <si>
    <t xml:space="preserve">   parcel mail items</t>
  </si>
  <si>
    <t xml:space="preserve">   wireless subscriptions</t>
  </si>
  <si>
    <t xml:space="preserve">   DSL subscriptions</t>
  </si>
  <si>
    <t xml:space="preserve">   postpaid subscriptions</t>
  </si>
  <si>
    <t xml:space="preserve">   prepaid subscriptions</t>
  </si>
  <si>
    <t xml:space="preserve">   minutes received</t>
  </si>
  <si>
    <t xml:space="preserve">   minutes made</t>
  </si>
  <si>
    <t>Outgoing voice traffic minutes</t>
  </si>
  <si>
    <t>Outgoing MMSs</t>
  </si>
  <si>
    <t>Roaming activity - minutes</t>
  </si>
  <si>
    <t>Fixed line inward portings</t>
  </si>
  <si>
    <t>Mobile inward portings</t>
  </si>
  <si>
    <t xml:space="preserve">   other subscriptions</t>
  </si>
  <si>
    <t>Fixed broadband penetration rate (%)</t>
  </si>
  <si>
    <t>A.0</t>
  </si>
  <si>
    <t>A.1</t>
  </si>
  <si>
    <t>A.2</t>
  </si>
  <si>
    <t>A.3</t>
  </si>
  <si>
    <t>A.4</t>
  </si>
  <si>
    <t>A.5</t>
  </si>
  <si>
    <t>A.6</t>
  </si>
  <si>
    <t>A.7</t>
  </si>
  <si>
    <t>A.8</t>
  </si>
  <si>
    <t>A.9</t>
  </si>
  <si>
    <t>B.0</t>
  </si>
  <si>
    <t>B.1</t>
  </si>
  <si>
    <t>B.2</t>
  </si>
  <si>
    <t>B.3</t>
  </si>
  <si>
    <t>B.4</t>
  </si>
  <si>
    <t>C.0</t>
  </si>
  <si>
    <t>C.1</t>
  </si>
  <si>
    <t>C.2</t>
  </si>
  <si>
    <t>D.0</t>
  </si>
  <si>
    <t>D.1</t>
  </si>
  <si>
    <t>E.0</t>
  </si>
  <si>
    <t>E.1</t>
  </si>
  <si>
    <t>Prepaid subscribers having a MSISDN with registered inbound or outbound activity within 90 days of the period stipulated.</t>
  </si>
  <si>
    <t xml:space="preserve">   prepaid subscribers</t>
  </si>
  <si>
    <t xml:space="preserve">   postpaid subscribers</t>
  </si>
  <si>
    <t>Number of calls originating from local mobile networks and terminating on fixed and mobile network operators.</t>
  </si>
  <si>
    <t>Number of minutes originating from local mobile networks and terminating on fixed and mobile network operators.</t>
  </si>
  <si>
    <t>Postpaid subscribers having a MSISDN with registered inbound or outbound activity within 30 days of the period stipulated.</t>
  </si>
  <si>
    <t>Connections which made and received any call within 90 days of the period stipulated.</t>
  </si>
  <si>
    <t>Number of minutes originated by your subscribers while roaming abroad as per TAP records during the period.</t>
  </si>
  <si>
    <t>Number of minutes received by your subscribers roaming abroad as per TAP records during the period.</t>
  </si>
  <si>
    <t>Number of minutes originated by foreign subscribers roaming on your mobile network as per TAP records during the period.</t>
  </si>
  <si>
    <t>Number of terminated minutes received by foreign subscribers roaming on your mobile network as per TAP records during the period.</t>
  </si>
  <si>
    <t>Number of active subscriptions not having a standard fixed telephony connection at the end of the period (incl. dual and 30 channel subs).</t>
  </si>
  <si>
    <t>Number of calls originating from local fixed networks and terminating on other fixed and mobile networks.</t>
  </si>
  <si>
    <t>Number of minutes of calls originating from local fixed networks and terminating on other fixed and mobile networks.</t>
  </si>
  <si>
    <t>Connections having recorded a transaction within 90 days of the period stipulated.</t>
  </si>
  <si>
    <t>Connections which made a call to an internet number (2188 or 2186) within the last 90 days</t>
  </si>
  <si>
    <t>Connection to the internet which are 'always on' and have a speed of more than 128kbps.</t>
  </si>
  <si>
    <t>Cable connections to the internet which are 'always on' and have a speed of more than 128kbps.</t>
  </si>
  <si>
    <t>DSL connections to the internet which are 'always on' and have a speed of more than 128kbps.</t>
  </si>
  <si>
    <t>Connections which have been receving a Pay TV service within the past 90 days from the period stipulated.</t>
  </si>
  <si>
    <t>Connections on a cable platform which have been receveing an analogue Pay TV service within the past 90 days from the period stipulated.</t>
  </si>
  <si>
    <t>Connections on a DTTV platform which have been receveing an analogue Pay TV service within the past 90 days from the period stipulated.</t>
  </si>
  <si>
    <t>Connections on a cable platform which have been receveing a digital Pay TV service within the past 90 days from the period stipulated.</t>
  </si>
  <si>
    <t>Connections on a DTTV platform which have been receveing a digital Pay TV service within the past 90 days from the period stipulated.</t>
  </si>
  <si>
    <t>A.6.1</t>
  </si>
  <si>
    <t>A.6.2</t>
  </si>
  <si>
    <t>C.1.1</t>
  </si>
  <si>
    <t>C.1.2</t>
  </si>
  <si>
    <t>D.1.1</t>
  </si>
  <si>
    <t>D.1.2</t>
  </si>
  <si>
    <t>Volume of domestically-originating letter post items excluding bulk mail falling within the reserved and unreserved area.</t>
  </si>
  <si>
    <t>Volume of domestically-originating bulk mail letter items.</t>
  </si>
  <si>
    <t>Volume of domestically-originating registered mail items.</t>
  </si>
  <si>
    <t>Volume of domestically-originating and domestically-bound parcels.</t>
  </si>
  <si>
    <t>Active subscriptions as at end of period</t>
  </si>
  <si>
    <t>Measured as the total number of fixed broadband connections per population.</t>
  </si>
  <si>
    <t>Measured as the total number of mobile subscriptions per population.</t>
  </si>
  <si>
    <t>Postpaid subscritpions on a bundle offer</t>
  </si>
  <si>
    <t>Fixed broadband subscritptions on a bundle offer</t>
  </si>
  <si>
    <t>Mobile subscriptions on a bundle offer (excl. mobile broadband plans)</t>
  </si>
  <si>
    <t xml:space="preserve">       </t>
  </si>
  <si>
    <t xml:space="preserve">      share of postpaid subscritpions: Bay Mobile</t>
  </si>
  <si>
    <t xml:space="preserve">      share of postpaid subscriptions: GO Mobile</t>
  </si>
  <si>
    <t xml:space="preserve">      share of postpaid subscriptions: Melita Mobile</t>
  </si>
  <si>
    <t xml:space="preserve">      share of postpaid subscriptions:Ping</t>
  </si>
  <si>
    <t xml:space="preserve">      share of postpaid subscriptions:Redtouchfone</t>
  </si>
  <si>
    <t xml:space="preserve">      share of postpaid subscriptions:Vodafone Malta</t>
  </si>
  <si>
    <t xml:space="preserve">      share of prepaid subscriptions: Bay Mobile</t>
  </si>
  <si>
    <t xml:space="preserve">      share of prepaid subscriptions:GO Mobile</t>
  </si>
  <si>
    <t xml:space="preserve">      share of prepaid subscriptions:Melita Mobile</t>
  </si>
  <si>
    <t xml:space="preserve">      share of prepaid subscriptions:Ping</t>
  </si>
  <si>
    <t xml:space="preserve">      share of prepaid subscriptions:Redtouchfone</t>
  </si>
  <si>
    <t xml:space="preserve">      share of prepaid subscriptions:Vodafone Malta</t>
  </si>
  <si>
    <t xml:space="preserve">      share of postpaid subscriptions: GO</t>
  </si>
  <si>
    <t xml:space="preserve">      share of other subscriptions:GO</t>
  </si>
  <si>
    <t xml:space="preserve">      share of other subscriptions:Vodafone Malta</t>
  </si>
  <si>
    <t xml:space="preserve">       share of DSL subscriptions: GO</t>
  </si>
  <si>
    <t xml:space="preserve">       share of DSL subscriptions: SIS</t>
  </si>
  <si>
    <t xml:space="preserve">       share of DSL subscriptions: other</t>
  </si>
  <si>
    <t>Mobile penetration rate (%) as at end of period</t>
  </si>
  <si>
    <t>Active Internet subscriptions as at end of period</t>
  </si>
  <si>
    <t>Active Pay TV subscriptions as at end of period</t>
  </si>
  <si>
    <t>Digital Pay TV subscritpions on a bundle offer</t>
  </si>
  <si>
    <t xml:space="preserve">      share of prepaid subscriptions:YOM</t>
  </si>
  <si>
    <t xml:space="preserve">      share of postpaid subscriptions:YOM</t>
  </si>
  <si>
    <t xml:space="preserve"> broadband subscriptions (by technology)</t>
  </si>
  <si>
    <t xml:space="preserve"> broadband subscriptions (by speed)</t>
  </si>
  <si>
    <t xml:space="preserve">       as a percentage of total broadband subscritpions </t>
  </si>
  <si>
    <t xml:space="preserve"> analogue Pay TV subscriptions</t>
  </si>
  <si>
    <t xml:space="preserve"> digital Pay TV subscriptions</t>
  </si>
  <si>
    <t xml:space="preserve">       as a percentage of total Pay TV subscritpions </t>
  </si>
  <si>
    <t xml:space="preserve">       share of analogue Pay TV subscriptions: GO</t>
  </si>
  <si>
    <t xml:space="preserve">       as a percentage of total postpaid fixed line subscriptions </t>
  </si>
  <si>
    <t xml:space="preserve">       as a percentage of total mobile subscriptions </t>
  </si>
  <si>
    <t xml:space="preserve">        as a percentage of fixed broadband subscriptions </t>
  </si>
  <si>
    <t xml:space="preserve">       share of DSL subscriptions: Melita</t>
  </si>
  <si>
    <t xml:space="preserve">      share of prepaid subscriptions: Ozone</t>
  </si>
  <si>
    <t xml:space="preserve">      share of postpaid subscriptions: Ozone</t>
  </si>
  <si>
    <t xml:space="preserve">      share of postpaid subscriptions: Vodafone Malta</t>
  </si>
  <si>
    <t xml:space="preserve">      share of postpaid subscriptions: SIS</t>
  </si>
  <si>
    <t xml:space="preserve">      share of postpaid subscriptions: Melita</t>
  </si>
  <si>
    <t xml:space="preserve">      share of prepaid subscriptions: Melita</t>
  </si>
  <si>
    <t xml:space="preserve">      share of prepaid subscriptions: GO</t>
  </si>
  <si>
    <t xml:space="preserve">      share of prepaid subscriptions: Vodafone Malta</t>
  </si>
  <si>
    <t xml:space="preserve">      share of prepaid subscriptions: SIS</t>
  </si>
  <si>
    <t xml:space="preserve">      share of other subscriptions: Melita</t>
  </si>
  <si>
    <t xml:space="preserve">      share of other subscriptions: SIS</t>
  </si>
  <si>
    <t xml:space="preserve">      share of other subscriptions: Ozone</t>
  </si>
  <si>
    <t xml:space="preserve">       share of DSL subscriptions: Ozone</t>
  </si>
  <si>
    <t xml:space="preserve">      share of total subscriptions: Bay Mobile</t>
  </si>
  <si>
    <t xml:space="preserve">      share of total subscriptions:GO Mobile</t>
  </si>
  <si>
    <t xml:space="preserve">      share of total subscriptions:Melita Mobile</t>
  </si>
  <si>
    <t xml:space="preserve">      share of total subscriptions:Ping</t>
  </si>
  <si>
    <t xml:space="preserve">      share of total subscriptions:Redtouchfone</t>
  </si>
  <si>
    <t xml:space="preserve">      share of total subscriptions:Vodafone Malta</t>
  </si>
  <si>
    <t xml:space="preserve">      share of total subscriptions:YOM</t>
  </si>
  <si>
    <t xml:space="preserve">      share of total subscriptions: GO</t>
  </si>
  <si>
    <t xml:space="preserve">      share of total subscriptions: Melita</t>
  </si>
  <si>
    <t xml:space="preserve">      share of total subscriptions: SIS</t>
  </si>
  <si>
    <t xml:space="preserve">      share of total subscriptions: Ozone</t>
  </si>
  <si>
    <t xml:space="preserve">      share of total subscriptions: Vodafone Malta</t>
  </si>
  <si>
    <t xml:space="preserve">       share of analogue Pay TV subscriptions: Melita </t>
  </si>
  <si>
    <t xml:space="preserve">       share of digital Pay TV subscriptions: Melita </t>
  </si>
  <si>
    <t xml:space="preserve">       share of digital Pay TV subscriptions: GO</t>
  </si>
  <si>
    <t xml:space="preserve">   fixed wireless subscriptions</t>
  </si>
  <si>
    <t xml:space="preserve">       share of DSL subscriptions: Vanilla Telecoms</t>
  </si>
  <si>
    <t xml:space="preserve">       share of DSL subscriptions: Vodafone (Malta)</t>
  </si>
  <si>
    <t xml:space="preserve">       share of cable subscriptions: GO</t>
  </si>
  <si>
    <t xml:space="preserve">       share of cable subscriptions: SIS</t>
  </si>
  <si>
    <t xml:space="preserve">       share of cable subscriptions: Melita</t>
  </si>
  <si>
    <t xml:space="preserve">       share of cable subscriptions: Ozone</t>
  </si>
  <si>
    <t xml:space="preserve">       share of cable subscriptions: Vanilla Telecoms</t>
  </si>
  <si>
    <t xml:space="preserve">       share of cable subscriptions: Vodafone (Malta)</t>
  </si>
  <si>
    <t xml:space="preserve">       share of cable subscriptions: other</t>
  </si>
  <si>
    <t xml:space="preserve">       share of fixed wireless subscriptions: GO</t>
  </si>
  <si>
    <t xml:space="preserve">       share of fixed wireless subscriptions: SIS</t>
  </si>
  <si>
    <t xml:space="preserve">       share of fixed wireless subscriptions: Melita</t>
  </si>
  <si>
    <t xml:space="preserve">       share of fixed wireless subscriptions: Ozone</t>
  </si>
  <si>
    <t xml:space="preserve">       share of fixed wireless subscriptions: Vanilla Telecoms</t>
  </si>
  <si>
    <t xml:space="preserve">       share of fixed wireless subscriptions: Vodafone (Malta)</t>
  </si>
  <si>
    <t xml:space="preserve">       share of fixed wireless subscriptions: other</t>
  </si>
  <si>
    <t xml:space="preserve">   other subscriptions (incl. ISDN subscriptions)</t>
  </si>
  <si>
    <t xml:space="preserve">       less than 5Mbps</t>
  </si>
  <si>
    <t xml:space="preserve">       greater than or equal to 5Mbps but less than 10Mbps</t>
  </si>
  <si>
    <t xml:space="preserve">      greater than or equal to 10Mbps but less than 20Mbps</t>
  </si>
  <si>
    <t xml:space="preserve">       greater than or equal to 20Mbps but less than 30Mbps</t>
  </si>
  <si>
    <t xml:space="preserve">       greater than or equal to 30Mbps but less than 50Mbps</t>
  </si>
  <si>
    <t xml:space="preserve">       greater than or equal to 50Mbps but less than 100Mbps</t>
  </si>
  <si>
    <t xml:space="preserve">       100Mbps or more</t>
  </si>
  <si>
    <t>IPTV subscriptions</t>
  </si>
  <si>
    <t>-</t>
  </si>
  <si>
    <t>Number of MMSs originating from local mobile networks.</t>
  </si>
  <si>
    <t>Number of SMSs originating from local mobile networks.</t>
  </si>
  <si>
    <t>Number of portings that were completed successfully within the time limits of the specification (1 day or if quota is applied).</t>
  </si>
  <si>
    <t>Number of active subscriptions on a prepaid service having a fixed telephony connection, at the end of the period.</t>
  </si>
  <si>
    <t>Number of active subscriptions on a postpaid service having a fixed telephony connection, at the end of the period.</t>
  </si>
  <si>
    <t>Number of portings that were completed successfully within the time limits of the specification.</t>
  </si>
  <si>
    <t>Fixed wireless connections to the internet which are 'always on' and have a speed of more than 128kbps.</t>
  </si>
  <si>
    <t xml:space="preserve"> Fixed broadband subscriptions</t>
  </si>
  <si>
    <t xml:space="preserve"> Dial-up subscriptions</t>
  </si>
  <si>
    <t xml:space="preserve">   cable platform</t>
  </si>
  <si>
    <t xml:space="preserve">   DTTV platform</t>
  </si>
  <si>
    <t xml:space="preserve"> IPTV subscriptions</t>
  </si>
  <si>
    <r>
      <rPr>
        <sz val="8"/>
        <color indexed="8"/>
        <rFont val="Verdana"/>
        <family val="2"/>
      </rPr>
      <t>Connections which have been receveing an analogue Pay TV service within the past 90 days from the period stipulated.</t>
    </r>
  </si>
  <si>
    <r>
      <rPr>
        <sz val="8"/>
        <color indexed="8"/>
        <rFont val="Verdana"/>
        <family val="2"/>
      </rPr>
      <t>Connections which have been receveing a digital Pay TV service within the past 90 days from the period stipulated.</t>
    </r>
  </si>
  <si>
    <t>Connections which have been receveing an IPTV TV service within the past 90 days from the period stipulated.</t>
  </si>
  <si>
    <t>Connections on a cable platform which have been receveing an IPTV service within the past 90 days from the period stipulated.</t>
  </si>
  <si>
    <t>Connections on a DTTV platform which have been receveing an IPTV service within the past 90 days from the period stipulated.</t>
  </si>
  <si>
    <t>D.1.3</t>
  </si>
  <si>
    <t>B.5</t>
  </si>
  <si>
    <t>C.3</t>
  </si>
  <si>
    <t>D.2</t>
  </si>
  <si>
    <t>This indicator captures the average quarterly spend per user for fixed broadband services. The revenue element is composed of the total retail revenues from subscriptions to fixed broadband services, but excludes installation and connection revenues. The number of subscribers reflects the average of the total subscribers to broadband services within the period under review. The average number of subscribers is calculated by taking the sum of the total subscribers at the start and the end of the quarter divided by two.</t>
  </si>
  <si>
    <t xml:space="preserve">   domestic mail</t>
  </si>
  <si>
    <t xml:space="preserve">   inbound cross border mail</t>
  </si>
  <si>
    <t xml:space="preserve">   outbound cross border mail</t>
  </si>
  <si>
    <t xml:space="preserve">as a percentage of total digital Pay TV &amp; IPTV subscriptions </t>
  </si>
  <si>
    <t xml:space="preserve">This document contains information and statistics that have been obtained from sources believed to be reliable in regard to the subject matter covered. </t>
  </si>
  <si>
    <t xml:space="preserve">This document does not however constitute commercial, legal or other advice however so described. The Malta Communications Authority ("MCA") excludes any warranty and, or liability, expressed or implied, as to the quality, completeness, adequacy and accuracy of the information, statements and statistics contained within this document. </t>
  </si>
  <si>
    <t xml:space="preserve">The MCA reserves the right to change and update the information, statements and statistics provided in this document at its discretion and without prior notification and assumes no obligation to update the document on the basis of suggestions, comments and/or queries made  by third parties. </t>
  </si>
  <si>
    <t>The MCA assumes no responsibility for any consequences that may arise in the absence of such changes and/or updates.</t>
  </si>
  <si>
    <t>To the fullest extent permitted by law, neither the MCA nor any of its officers however so described or agents will assume responsibility and/or liability for any loss or damage, including losses or damages such as loss of goodwill, income, profit or opportunity, or any other claim of third parties, arising from or related to the use of the content of this document.</t>
  </si>
  <si>
    <t>LEGAL DISCLAIMER</t>
  </si>
  <si>
    <t xml:space="preserve">This indicator captures the average quarterly spend per user for Pay TV services. The revenue element is composed of the total retail revenues from subscriptions to pay TV services, but excludes revenues for premium services and installations and connections. The number of subscribers reflects the average of the total subscribers to pay TV services within the quarter. The average number of subscribers is calculated by taking the sum of the total subscribers at the start and the end of the quarter divided by two. </t>
  </si>
  <si>
    <r>
      <t xml:space="preserve">Mobile ARPU figures are derived by dividing the total revenues of service providers by the average number of active subscribers, during a given period.   [The </t>
    </r>
    <r>
      <rPr>
        <b/>
        <sz val="8"/>
        <color indexed="8"/>
        <rFont val="Verdana"/>
        <family val="2"/>
      </rPr>
      <t>total r</t>
    </r>
    <r>
      <rPr>
        <b/>
        <sz val="8"/>
        <color indexed="8"/>
        <rFont val="Verdana"/>
        <family val="2"/>
      </rPr>
      <t>evenues</t>
    </r>
    <r>
      <rPr>
        <sz val="8"/>
        <color indexed="8"/>
        <rFont val="Verdana"/>
        <family val="2"/>
      </rPr>
      <t xml:space="preserve"> heading includes revenues from all outgoing voice activity registered by all active postpaid and prepaid subscribers, including outbound roaming revenues </t>
    </r>
    <r>
      <rPr>
        <b/>
        <sz val="8"/>
        <color indexed="8"/>
        <rFont val="Verdana"/>
        <family val="2"/>
      </rPr>
      <t>BUT EXCLUDING</t>
    </r>
    <r>
      <rPr>
        <sz val="8"/>
        <color indexed="8"/>
        <rFont val="Verdana"/>
        <family val="2"/>
      </rPr>
      <t xml:space="preserve"> revenues from incoming call activity, inbound roaming revenues, revenues from MMS and SMS activity, revenues from monthly access fees, and revenues from data services. The average number of active subscribers during a given period is derived by adding the number of active subscriptions at the start of the period plus the number of subscriptions at the end of the said period, divided by two.</t>
    </r>
  </si>
  <si>
    <r>
      <t xml:space="preserve">Fixed ARPU figures are derived by dividing the total revenues of service providers by the average number of active subscribers, during a given period.   [The </t>
    </r>
    <r>
      <rPr>
        <b/>
        <sz val="8"/>
        <color indexed="8"/>
        <rFont val="Verdana"/>
        <family val="2"/>
      </rPr>
      <t>total revenues</t>
    </r>
    <r>
      <rPr>
        <sz val="8"/>
        <color indexed="8"/>
        <rFont val="Verdana"/>
        <family val="2"/>
      </rPr>
      <t xml:space="preserve"> heading includes revenues from all outgoing voice activity registered by all active fixed line subscribers, including revenues from freephone calls and premium calls, and total revenues from monthly access fees. The average number of active subscribers during a given period is derived by adding the number of active subscriptions at the start of the period plus the number of subscriptions at the end of the said period, divided by two.</t>
    </r>
  </si>
</sst>
</file>

<file path=xl/styles.xml><?xml version="1.0" encoding="utf-8"?>
<styleSheet xmlns="http://schemas.openxmlformats.org/spreadsheetml/2006/main">
  <numFmts count="50">
    <numFmt numFmtId="5" formatCode="&quot;Lm&quot;#,##0;\-&quot;Lm&quot;#,##0"/>
    <numFmt numFmtId="6" formatCode="&quot;Lm&quot;#,##0;[Red]\-&quot;Lm&quot;#,##0"/>
    <numFmt numFmtId="7" formatCode="&quot;Lm&quot;#,##0.00;\-&quot;Lm&quot;#,##0.00"/>
    <numFmt numFmtId="8" formatCode="&quot;Lm&quot;#,##0.00;[Red]\-&quot;Lm&quot;#,##0.00"/>
    <numFmt numFmtId="42" formatCode="_-&quot;Lm&quot;* #,##0_-;\-&quot;Lm&quot;* #,##0_-;_-&quot;Lm&quot;* &quot;-&quot;_-;_-@_-"/>
    <numFmt numFmtId="41" formatCode="_-* #,##0_-;\-* #,##0_-;_-* &quot;-&quot;_-;_-@_-"/>
    <numFmt numFmtId="44" formatCode="_-&quot;Lm&quot;* #,##0.00_-;\-&quot;Lm&quot;* #,##0.00_-;_-&quot;Lm&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quot;€&quot;* #,##0.00_-;\-&quot;€&quot;* #,##0.00_-;_-&quot;€&quot;* &quot;-&quot;??_-;_-@_-"/>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_-* #,##0_-;\-* #,##0_-;_-* &quot;-&quot;??_-;_-@_-"/>
    <numFmt numFmtId="185" formatCode="0.0%"/>
    <numFmt numFmtId="186" formatCode="0.0"/>
    <numFmt numFmtId="187" formatCode="0.000"/>
    <numFmt numFmtId="188" formatCode="0.0000"/>
    <numFmt numFmtId="189" formatCode="0.00000"/>
    <numFmt numFmtId="190" formatCode="0.000000"/>
    <numFmt numFmtId="191" formatCode="_-* #,##0.0_-;\-* #,##0.0_-;_-* &quot;-&quot;??_-;_-@_-"/>
    <numFmt numFmtId="192" formatCode="[$-809]dd\ mmmm\ yyyy"/>
    <numFmt numFmtId="193" formatCode="#,##0.0"/>
    <numFmt numFmtId="194" formatCode="0.0000000"/>
    <numFmt numFmtId="195" formatCode="&quot;Yes&quot;;&quot;Yes&quot;;&quot;No&quot;"/>
    <numFmt numFmtId="196" formatCode="&quot;True&quot;;&quot;True&quot;;&quot;False&quot;"/>
    <numFmt numFmtId="197" formatCode="&quot;On&quot;;&quot;On&quot;;&quot;Off&quot;"/>
    <numFmt numFmtId="198" formatCode="[$€-2]\ #,##0.00_);[Red]\([$€-2]\ #,##0.00\)"/>
    <numFmt numFmtId="199" formatCode="_-* #,##0.0000_-;\-* #,##0.0000_-;_-* &quot;-&quot;??_-;_-@_-"/>
    <numFmt numFmtId="200" formatCode="#,##0.000"/>
    <numFmt numFmtId="201" formatCode="#,##0.0000"/>
    <numFmt numFmtId="202" formatCode="#,##0.00000"/>
    <numFmt numFmtId="203" formatCode="_-* #,##0.000_-;\-* #,##0.000_-;_-* &quot;-&quot;??_-;_-@_-"/>
    <numFmt numFmtId="204" formatCode="0.000%"/>
    <numFmt numFmtId="205" formatCode="_-* #,##0.00000_-;\-* #,##0.00000_-;_-* &quot;-&quot;??_-;_-@_-"/>
  </numFmts>
  <fonts count="64">
    <font>
      <sz val="11"/>
      <color theme="1"/>
      <name val="Calibri"/>
      <family val="2"/>
    </font>
    <font>
      <sz val="11"/>
      <color indexed="8"/>
      <name val="Calibri"/>
      <family val="2"/>
    </font>
    <font>
      <sz val="10"/>
      <name val="Arial"/>
      <family val="2"/>
    </font>
    <font>
      <b/>
      <sz val="9"/>
      <name val="Verdana"/>
      <family val="2"/>
    </font>
    <font>
      <sz val="8"/>
      <name val="Verdana"/>
      <family val="2"/>
    </font>
    <font>
      <b/>
      <sz val="10"/>
      <name val="Verdana"/>
      <family val="2"/>
    </font>
    <font>
      <sz val="8"/>
      <color indexed="8"/>
      <name val="Verdana"/>
      <family val="2"/>
    </font>
    <font>
      <b/>
      <sz val="8"/>
      <color indexed="8"/>
      <name val="Verdana"/>
      <family val="2"/>
    </font>
    <font>
      <b/>
      <sz val="8"/>
      <name val="Verdana"/>
      <family val="2"/>
    </font>
    <font>
      <b/>
      <sz val="11"/>
      <color indexed="8"/>
      <name val="Calibri"/>
      <family val="2"/>
    </font>
    <font>
      <i/>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2"/>
      <color indexed="8"/>
      <name val="Calibri"/>
      <family val="2"/>
    </font>
    <font>
      <b/>
      <sz val="18"/>
      <color indexed="56"/>
      <name val="Cambria"/>
      <family val="2"/>
    </font>
    <font>
      <sz val="11"/>
      <color indexed="10"/>
      <name val="Calibri"/>
      <family val="2"/>
    </font>
    <font>
      <sz val="10"/>
      <color indexed="9"/>
      <name val="Verdana"/>
      <family val="2"/>
    </font>
    <font>
      <sz val="8"/>
      <color indexed="8"/>
      <name val="Calibri"/>
      <family val="2"/>
    </font>
    <font>
      <sz val="11"/>
      <color indexed="8"/>
      <name val="Verdana"/>
      <family val="2"/>
    </font>
    <font>
      <b/>
      <sz val="9"/>
      <color indexed="9"/>
      <name val="Verdana"/>
      <family val="2"/>
    </font>
    <font>
      <sz val="11"/>
      <color indexed="9"/>
      <name val="Verdana"/>
      <family val="2"/>
    </font>
    <font>
      <b/>
      <sz val="10"/>
      <color indexed="9"/>
      <name val="Verdana"/>
      <family val="2"/>
    </font>
    <font>
      <b/>
      <u val="single"/>
      <sz val="11"/>
      <color indexed="9"/>
      <name val="Calibri"/>
      <family val="2"/>
    </font>
    <font>
      <b/>
      <sz val="11"/>
      <color theme="1"/>
      <name val="Calibri"/>
      <family val="2"/>
    </font>
    <font>
      <i/>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2"/>
      <color theme="1"/>
      <name val="Calibri"/>
      <family val="2"/>
    </font>
    <font>
      <b/>
      <sz val="18"/>
      <color theme="3"/>
      <name val="Cambria"/>
      <family val="2"/>
    </font>
    <font>
      <sz val="11"/>
      <color rgb="FFFF0000"/>
      <name val="Calibri"/>
      <family val="2"/>
    </font>
    <font>
      <sz val="10"/>
      <color theme="0"/>
      <name val="Verdana"/>
      <family val="2"/>
    </font>
    <font>
      <sz val="8"/>
      <color theme="1"/>
      <name val="Verdana"/>
      <family val="2"/>
    </font>
    <font>
      <sz val="8"/>
      <color theme="1"/>
      <name val="Calibri"/>
      <family val="2"/>
    </font>
    <font>
      <sz val="11"/>
      <color theme="1"/>
      <name val="Verdana"/>
      <family val="2"/>
    </font>
    <font>
      <b/>
      <sz val="9"/>
      <color theme="0"/>
      <name val="Verdana"/>
      <family val="2"/>
    </font>
    <font>
      <sz val="11"/>
      <color theme="0"/>
      <name val="Verdana"/>
      <family val="2"/>
    </font>
    <font>
      <b/>
      <sz val="10"/>
      <color theme="0"/>
      <name val="Verdana"/>
      <family val="2"/>
    </font>
    <font>
      <b/>
      <u val="single"/>
      <sz val="11"/>
      <color theme="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theme="3" tint="0.5999900102615356"/>
        <bgColor indexed="64"/>
      </patternFill>
    </fill>
    <fill>
      <patternFill patternType="solid">
        <fgColor theme="0"/>
        <bgColor indexed="64"/>
      </patternFill>
    </fill>
    <fill>
      <patternFill patternType="solid">
        <fgColor theme="4" tint="-0.24997000396251678"/>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medium"/>
      <right>
        <color indexed="63"/>
      </right>
      <top style="medium"/>
      <bottom>
        <color indexed="63"/>
      </bottom>
    </border>
    <border>
      <left>
        <color indexed="63"/>
      </left>
      <right>
        <color indexed="63"/>
      </right>
      <top style="thin">
        <color theme="4"/>
      </top>
      <bottom style="double">
        <color theme="4"/>
      </bottom>
    </border>
    <border>
      <left style="medium"/>
      <right style="medium"/>
      <top>
        <color indexed="63"/>
      </top>
      <bottom>
        <color indexed="63"/>
      </bottom>
    </border>
    <border>
      <left style="medium"/>
      <right>
        <color indexed="63"/>
      </right>
      <top>
        <color indexed="63"/>
      </top>
      <bottom>
        <color indexed="63"/>
      </bottom>
    </border>
    <border>
      <left style="thin"/>
      <right style="medium"/>
      <top>
        <color indexed="63"/>
      </top>
      <bottom>
        <color indexed="63"/>
      </bottom>
    </border>
    <border>
      <left style="thin"/>
      <right style="thin"/>
      <top>
        <color indexed="63"/>
      </top>
      <bottom>
        <color indexed="63"/>
      </bottom>
    </border>
    <border>
      <left style="thin"/>
      <right style="medium"/>
      <top style="thin"/>
      <bottom style="thin"/>
    </border>
    <border>
      <left style="thin"/>
      <right style="thin"/>
      <top style="thin"/>
      <bottom style="thin"/>
    </border>
    <border>
      <left>
        <color indexed="63"/>
      </left>
      <right style="thin"/>
      <top style="thin"/>
      <bottom style="thin"/>
    </border>
    <border>
      <left>
        <color indexed="63"/>
      </left>
      <right style="medium"/>
      <top>
        <color indexed="63"/>
      </top>
      <bottom>
        <color indexed="63"/>
      </bottom>
    </border>
    <border>
      <left>
        <color indexed="63"/>
      </left>
      <right>
        <color indexed="63"/>
      </right>
      <top>
        <color indexed="63"/>
      </top>
      <bottom style="thin"/>
    </border>
    <border>
      <left>
        <color indexed="63"/>
      </left>
      <right style="thin"/>
      <top>
        <color indexed="63"/>
      </top>
      <bottom>
        <color indexed="63"/>
      </bottom>
    </border>
    <border>
      <left style="medium"/>
      <right style="thin"/>
      <top style="thin"/>
      <bottom style="thin"/>
    </border>
    <border>
      <left style="medium"/>
      <right style="thin"/>
      <top>
        <color indexed="63"/>
      </top>
      <bottom>
        <color indexed="63"/>
      </bottom>
    </border>
    <border>
      <left>
        <color indexed="63"/>
      </left>
      <right style="medium"/>
      <top>
        <color indexed="63"/>
      </top>
      <bottom style="thin"/>
    </border>
    <border>
      <left style="medium"/>
      <right style="medium"/>
      <top>
        <color indexed="63"/>
      </top>
      <bottom style="medium"/>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thin"/>
      <bottom>
        <color indexed="63"/>
      </bottom>
    </border>
    <border>
      <left>
        <color indexed="63"/>
      </left>
      <right style="medium"/>
      <top style="thin"/>
      <bottom style="thin"/>
    </border>
    <border>
      <left>
        <color indexed="63"/>
      </left>
      <right>
        <color indexed="63"/>
      </right>
      <top style="thin"/>
      <bottom style="thin"/>
    </border>
    <border>
      <left style="medium"/>
      <right style="medium"/>
      <top style="thin"/>
      <bottom>
        <color indexed="63"/>
      </bottom>
    </border>
    <border>
      <left>
        <color indexed="63"/>
      </left>
      <right style="medium"/>
      <top>
        <color indexed="63"/>
      </top>
      <bottom style="medium"/>
    </border>
    <border>
      <left style="medium"/>
      <right>
        <color indexed="63"/>
      </right>
      <top style="thin"/>
      <bottom style="thin"/>
    </border>
    <border>
      <left style="medium"/>
      <right style="thin"/>
      <top>
        <color indexed="63"/>
      </top>
      <bottom style="medium"/>
    </border>
    <border>
      <left style="thin"/>
      <right style="thin"/>
      <top>
        <color indexed="63"/>
      </top>
      <bottom style="medium"/>
    </border>
    <border>
      <left>
        <color indexed="63"/>
      </left>
      <right style="thin"/>
      <top>
        <color indexed="63"/>
      </top>
      <bottom style="medium"/>
    </border>
    <border>
      <left style="thin"/>
      <right style="medium"/>
      <top>
        <color indexed="63"/>
      </top>
      <bottom style="medium"/>
    </border>
    <border>
      <left style="thin"/>
      <right style="medium"/>
      <top style="thin"/>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medium"/>
      <top style="medium"/>
      <bottom>
        <color indexed="63"/>
      </bottom>
    </border>
    <border>
      <left style="medium"/>
      <right style="medium"/>
      <top>
        <color indexed="63"/>
      </top>
      <bottom style="thin"/>
    </border>
    <border>
      <left>
        <color indexed="63"/>
      </left>
      <right style="medium"/>
      <top style="medium"/>
      <bottom>
        <color indexed="63"/>
      </bottom>
    </border>
    <border>
      <left style="medium"/>
      <right>
        <color indexed="63"/>
      </right>
      <top>
        <color indexed="63"/>
      </top>
      <bottom style="thin"/>
    </border>
    <border>
      <left>
        <color indexed="63"/>
      </left>
      <right>
        <color indexed="63"/>
      </right>
      <top style="medium"/>
      <bottom>
        <color indexed="63"/>
      </bottom>
    </border>
  </borders>
  <cellStyleXfs count="66">
    <xf numFmtId="0" fontId="0" fillId="0" borderId="0">
      <alignment/>
      <protection/>
    </xf>
    <xf numFmtId="0" fontId="36" fillId="0" borderId="0" applyNumberFormat="0" applyFill="0" applyBorder="0" applyAlignment="0" applyProtection="0"/>
    <xf numFmtId="0" fontId="0" fillId="0" borderId="0" applyNumberFormat="0" applyFill="0" applyBorder="0" applyAlignment="0" applyProtection="0"/>
    <xf numFmtId="0" fontId="3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2" fillId="0" borderId="0">
      <alignment/>
      <protection/>
    </xf>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33" borderId="9" applyNumberFormat="0" applyFont="0" applyBorder="0" applyAlignment="0">
      <protection/>
    </xf>
    <xf numFmtId="0" fontId="54" fillId="0" borderId="0" applyNumberFormat="0" applyFill="0" applyBorder="0" applyAlignment="0" applyProtection="0"/>
    <xf numFmtId="0" fontId="36" fillId="0" borderId="10" applyNumberFormat="0" applyFill="0" applyAlignment="0" applyProtection="0"/>
    <xf numFmtId="0" fontId="55" fillId="0" borderId="0" applyNumberFormat="0" applyFill="0" applyBorder="0" applyAlignment="0" applyProtection="0"/>
  </cellStyleXfs>
  <cellXfs count="360">
    <xf numFmtId="0" fontId="0" fillId="0" borderId="0" xfId="0" applyFont="1" applyAlignment="1">
      <alignment/>
    </xf>
    <xf numFmtId="0" fontId="0" fillId="0" borderId="0" xfId="0" applyAlignment="1">
      <alignment/>
    </xf>
    <xf numFmtId="0" fontId="0" fillId="0" borderId="0" xfId="0" applyBorder="1" applyAlignment="1">
      <alignment/>
    </xf>
    <xf numFmtId="184" fontId="0" fillId="0" borderId="0" xfId="43" applyNumberFormat="1" applyFont="1" applyBorder="1" applyAlignment="1">
      <alignment horizontal="center"/>
    </xf>
    <xf numFmtId="0" fontId="4" fillId="0" borderId="11" xfId="0" applyFont="1" applyFill="1" applyBorder="1" applyAlignment="1">
      <alignment/>
    </xf>
    <xf numFmtId="0" fontId="4" fillId="0" borderId="12" xfId="0" applyFont="1" applyFill="1" applyBorder="1" applyAlignment="1">
      <alignment/>
    </xf>
    <xf numFmtId="0" fontId="4" fillId="0" borderId="13" xfId="0" applyFont="1" applyFill="1" applyBorder="1" applyAlignment="1">
      <alignment/>
    </xf>
    <xf numFmtId="0" fontId="4" fillId="0" borderId="14" xfId="0" applyFont="1" applyFill="1" applyBorder="1" applyAlignment="1">
      <alignment/>
    </xf>
    <xf numFmtId="0" fontId="4" fillId="2" borderId="11" xfId="0" applyFont="1" applyFill="1" applyBorder="1" applyAlignment="1">
      <alignment/>
    </xf>
    <xf numFmtId="0" fontId="4" fillId="0" borderId="11" xfId="0" applyFont="1" applyBorder="1" applyAlignment="1">
      <alignment/>
    </xf>
    <xf numFmtId="0" fontId="3" fillId="34" borderId="15" xfId="0" applyFont="1" applyFill="1" applyBorder="1" applyAlignment="1">
      <alignment horizontal="center"/>
    </xf>
    <xf numFmtId="0" fontId="3" fillId="34" borderId="16" xfId="0" applyFont="1" applyFill="1" applyBorder="1" applyAlignment="1">
      <alignment horizontal="center"/>
    </xf>
    <xf numFmtId="184" fontId="4" fillId="2" borderId="12" xfId="43" applyNumberFormat="1" applyFont="1" applyFill="1" applyBorder="1" applyAlignment="1">
      <alignment horizontal="right"/>
    </xf>
    <xf numFmtId="184" fontId="4" fillId="2" borderId="13" xfId="43" applyNumberFormat="1" applyFont="1" applyFill="1" applyBorder="1" applyAlignment="1">
      <alignment horizontal="right"/>
    </xf>
    <xf numFmtId="184" fontId="4" fillId="2" borderId="14" xfId="43" applyNumberFormat="1" applyFont="1" applyFill="1" applyBorder="1" applyAlignment="1">
      <alignment horizontal="right"/>
    </xf>
    <xf numFmtId="0" fontId="4" fillId="0" borderId="12" xfId="0" applyFont="1" applyBorder="1" applyAlignment="1">
      <alignment horizontal="right"/>
    </xf>
    <xf numFmtId="0" fontId="4" fillId="0" borderId="13" xfId="0" applyFont="1" applyBorder="1" applyAlignment="1">
      <alignment horizontal="right"/>
    </xf>
    <xf numFmtId="0" fontId="4" fillId="0" borderId="14" xfId="0" applyFont="1" applyBorder="1" applyAlignment="1">
      <alignment horizontal="right"/>
    </xf>
    <xf numFmtId="0" fontId="3" fillId="34" borderId="17" xfId="0" applyFont="1" applyFill="1" applyBorder="1" applyAlignment="1">
      <alignment horizontal="center"/>
    </xf>
    <xf numFmtId="0" fontId="4" fillId="0" borderId="0" xfId="0" applyFont="1" applyFill="1" applyBorder="1" applyAlignment="1">
      <alignment/>
    </xf>
    <xf numFmtId="184" fontId="4" fillId="2" borderId="0" xfId="43" applyNumberFormat="1" applyFont="1" applyFill="1" applyBorder="1" applyAlignment="1">
      <alignment horizontal="right"/>
    </xf>
    <xf numFmtId="0" fontId="4" fillId="0" borderId="0" xfId="0" applyFont="1" applyBorder="1" applyAlignment="1">
      <alignment horizontal="right"/>
    </xf>
    <xf numFmtId="184" fontId="4" fillId="0" borderId="12" xfId="43" applyNumberFormat="1" applyFont="1" applyFill="1" applyBorder="1" applyAlignment="1">
      <alignment horizontal="right"/>
    </xf>
    <xf numFmtId="184" fontId="4" fillId="0" borderId="13" xfId="43" applyNumberFormat="1" applyFont="1" applyFill="1" applyBorder="1" applyAlignment="1">
      <alignment horizontal="right"/>
    </xf>
    <xf numFmtId="184" fontId="4" fillId="0" borderId="14" xfId="43" applyNumberFormat="1" applyFont="1" applyFill="1" applyBorder="1" applyAlignment="1">
      <alignment horizontal="right"/>
    </xf>
    <xf numFmtId="184" fontId="4" fillId="0" borderId="0" xfId="43" applyNumberFormat="1" applyFont="1" applyFill="1" applyBorder="1" applyAlignment="1">
      <alignment horizontal="right"/>
    </xf>
    <xf numFmtId="184" fontId="4" fillId="2" borderId="13" xfId="43" applyNumberFormat="1" applyFont="1" applyFill="1" applyBorder="1" applyAlignment="1">
      <alignment horizontal="center"/>
    </xf>
    <xf numFmtId="184" fontId="4" fillId="0" borderId="18" xfId="43" applyNumberFormat="1" applyFont="1" applyFill="1" applyBorder="1" applyAlignment="1">
      <alignment horizontal="right"/>
    </xf>
    <xf numFmtId="185" fontId="2" fillId="0" borderId="0" xfId="58" applyNumberFormat="1" applyBorder="1">
      <alignment/>
      <protection/>
    </xf>
    <xf numFmtId="0" fontId="3" fillId="34" borderId="19" xfId="0" applyFont="1" applyFill="1" applyBorder="1" applyAlignment="1">
      <alignment horizontal="center"/>
    </xf>
    <xf numFmtId="0" fontId="4" fillId="0" borderId="20" xfId="0" applyFont="1" applyFill="1" applyBorder="1" applyAlignment="1">
      <alignment/>
    </xf>
    <xf numFmtId="184" fontId="4" fillId="2" borderId="20" xfId="43" applyNumberFormat="1" applyFont="1" applyFill="1" applyBorder="1" applyAlignment="1">
      <alignment horizontal="right"/>
    </xf>
    <xf numFmtId="184" fontId="4" fillId="0" borderId="20" xfId="43" applyNumberFormat="1" applyFont="1" applyFill="1" applyBorder="1" applyAlignment="1">
      <alignment horizontal="right"/>
    </xf>
    <xf numFmtId="0" fontId="4" fillId="0" borderId="20" xfId="0" applyFont="1" applyBorder="1" applyAlignment="1">
      <alignment horizontal="right"/>
    </xf>
    <xf numFmtId="184" fontId="4" fillId="2" borderId="20" xfId="43" applyNumberFormat="1" applyFont="1" applyFill="1" applyBorder="1" applyAlignment="1">
      <alignment horizontal="center"/>
    </xf>
    <xf numFmtId="0" fontId="3" fillId="34" borderId="21" xfId="0" applyFont="1" applyFill="1" applyBorder="1" applyAlignment="1">
      <alignment horizontal="center"/>
    </xf>
    <xf numFmtId="0" fontId="4" fillId="0" borderId="22" xfId="0" applyFont="1" applyFill="1" applyBorder="1" applyAlignment="1">
      <alignment/>
    </xf>
    <xf numFmtId="184" fontId="4" fillId="2" borderId="22" xfId="43" applyNumberFormat="1" applyFont="1" applyFill="1" applyBorder="1" applyAlignment="1">
      <alignment horizontal="right"/>
    </xf>
    <xf numFmtId="184" fontId="4" fillId="0" borderId="22" xfId="43" applyNumberFormat="1" applyFont="1" applyFill="1" applyBorder="1" applyAlignment="1">
      <alignment horizontal="right"/>
    </xf>
    <xf numFmtId="0" fontId="4" fillId="0" borderId="22" xfId="0" applyFont="1" applyBorder="1" applyAlignment="1">
      <alignment horizontal="right"/>
    </xf>
    <xf numFmtId="184" fontId="4" fillId="2" borderId="22" xfId="43" applyNumberFormat="1" applyFont="1" applyFill="1" applyBorder="1" applyAlignment="1">
      <alignment horizontal="center"/>
    </xf>
    <xf numFmtId="10" fontId="4" fillId="2" borderId="12" xfId="61" applyNumberFormat="1" applyFont="1" applyFill="1" applyBorder="1" applyAlignment="1">
      <alignment horizontal="right"/>
    </xf>
    <xf numFmtId="10" fontId="4" fillId="2" borderId="14" xfId="61" applyNumberFormat="1" applyFont="1" applyFill="1" applyBorder="1" applyAlignment="1">
      <alignment horizontal="right"/>
    </xf>
    <xf numFmtId="10" fontId="4" fillId="2" borderId="13" xfId="61" applyNumberFormat="1" applyFont="1" applyFill="1" applyBorder="1" applyAlignment="1">
      <alignment horizontal="right"/>
    </xf>
    <xf numFmtId="10" fontId="4" fillId="2" borderId="0" xfId="61" applyNumberFormat="1" applyFont="1" applyFill="1" applyBorder="1" applyAlignment="1">
      <alignment horizontal="right"/>
    </xf>
    <xf numFmtId="10" fontId="4" fillId="2" borderId="22" xfId="61" applyNumberFormat="1" applyFont="1" applyFill="1" applyBorder="1" applyAlignment="1">
      <alignment horizontal="right"/>
    </xf>
    <xf numFmtId="10" fontId="4" fillId="2" borderId="20" xfId="61" applyNumberFormat="1" applyFont="1" applyFill="1" applyBorder="1" applyAlignment="1">
      <alignment horizontal="right"/>
    </xf>
    <xf numFmtId="10" fontId="4" fillId="2" borderId="18" xfId="61" applyNumberFormat="1" applyFont="1" applyFill="1" applyBorder="1" applyAlignment="1">
      <alignment horizontal="right"/>
    </xf>
    <xf numFmtId="0" fontId="3" fillId="34" borderId="23" xfId="0" applyFont="1" applyFill="1" applyBorder="1" applyAlignment="1">
      <alignment horizontal="center"/>
    </xf>
    <xf numFmtId="0" fontId="4" fillId="0" borderId="18" xfId="0" applyFont="1" applyFill="1" applyBorder="1" applyAlignment="1">
      <alignment/>
    </xf>
    <xf numFmtId="184" fontId="4" fillId="2" borderId="18" xfId="43" applyNumberFormat="1" applyFont="1" applyFill="1" applyBorder="1" applyAlignment="1">
      <alignment horizontal="right"/>
    </xf>
    <xf numFmtId="0" fontId="4" fillId="0" borderId="18" xfId="0" applyFont="1" applyBorder="1" applyAlignment="1">
      <alignment horizontal="right"/>
    </xf>
    <xf numFmtId="184" fontId="4" fillId="2" borderId="18" xfId="43" applyNumberFormat="1" applyFont="1" applyFill="1" applyBorder="1" applyAlignment="1">
      <alignment horizontal="center"/>
    </xf>
    <xf numFmtId="184" fontId="4" fillId="2" borderId="14" xfId="43" applyNumberFormat="1" applyFont="1" applyFill="1" applyBorder="1" applyAlignment="1">
      <alignment horizontal="center"/>
    </xf>
    <xf numFmtId="4" fontId="4" fillId="0" borderId="12" xfId="0" applyNumberFormat="1" applyFont="1" applyFill="1" applyBorder="1" applyAlignment="1">
      <alignment horizontal="right"/>
    </xf>
    <xf numFmtId="4" fontId="4" fillId="0" borderId="14" xfId="0" applyNumberFormat="1" applyFont="1" applyFill="1" applyBorder="1" applyAlignment="1">
      <alignment horizontal="right"/>
    </xf>
    <xf numFmtId="4" fontId="4" fillId="0" borderId="13" xfId="0" applyNumberFormat="1" applyFont="1" applyFill="1" applyBorder="1" applyAlignment="1">
      <alignment horizontal="right"/>
    </xf>
    <xf numFmtId="4" fontId="4" fillId="0" borderId="0" xfId="0" applyNumberFormat="1" applyFont="1" applyFill="1" applyBorder="1" applyAlignment="1">
      <alignment horizontal="right"/>
    </xf>
    <xf numFmtId="4" fontId="4" fillId="0" borderId="22" xfId="0" applyNumberFormat="1" applyFont="1" applyFill="1" applyBorder="1" applyAlignment="1">
      <alignment horizontal="right"/>
    </xf>
    <xf numFmtId="4" fontId="4" fillId="0" borderId="20" xfId="0" applyNumberFormat="1" applyFont="1" applyFill="1" applyBorder="1" applyAlignment="1">
      <alignment horizontal="right"/>
    </xf>
    <xf numFmtId="4" fontId="4" fillId="0" borderId="18" xfId="0" applyNumberFormat="1" applyFont="1" applyFill="1" applyBorder="1" applyAlignment="1">
      <alignment horizontal="right"/>
    </xf>
    <xf numFmtId="0" fontId="0" fillId="0" borderId="0" xfId="0" applyFill="1" applyAlignment="1">
      <alignment/>
    </xf>
    <xf numFmtId="0" fontId="56" fillId="0" borderId="11" xfId="0" applyFont="1" applyFill="1" applyBorder="1" applyAlignment="1">
      <alignment/>
    </xf>
    <xf numFmtId="0" fontId="3" fillId="0" borderId="12" xfId="0" applyFont="1" applyFill="1" applyBorder="1" applyAlignment="1">
      <alignment horizontal="center"/>
    </xf>
    <xf numFmtId="0" fontId="3" fillId="0" borderId="13" xfId="0" applyFont="1" applyFill="1" applyBorder="1" applyAlignment="1">
      <alignment horizontal="center"/>
    </xf>
    <xf numFmtId="0" fontId="3" fillId="0" borderId="14" xfId="0" applyFont="1" applyFill="1" applyBorder="1" applyAlignment="1">
      <alignment horizontal="center"/>
    </xf>
    <xf numFmtId="0" fontId="3" fillId="0" borderId="0" xfId="0" applyFont="1" applyFill="1" applyBorder="1" applyAlignment="1">
      <alignment horizontal="center"/>
    </xf>
    <xf numFmtId="0" fontId="3" fillId="0" borderId="22" xfId="0" applyFont="1" applyFill="1" applyBorder="1" applyAlignment="1">
      <alignment horizontal="center"/>
    </xf>
    <xf numFmtId="0" fontId="3" fillId="0" borderId="20" xfId="0" applyFont="1" applyFill="1" applyBorder="1" applyAlignment="1">
      <alignment horizontal="center"/>
    </xf>
    <xf numFmtId="0" fontId="3" fillId="0" borderId="18" xfId="0" applyFont="1" applyFill="1" applyBorder="1" applyAlignment="1">
      <alignment horizontal="center"/>
    </xf>
    <xf numFmtId="0" fontId="4" fillId="0" borderId="12" xfId="0" applyFont="1" applyFill="1" applyBorder="1" applyAlignment="1">
      <alignment horizontal="right"/>
    </xf>
    <xf numFmtId="0" fontId="4" fillId="0" borderId="14" xfId="0" applyFont="1" applyFill="1" applyBorder="1" applyAlignment="1">
      <alignment horizontal="right"/>
    </xf>
    <xf numFmtId="0" fontId="4" fillId="0" borderId="18" xfId="0" applyFont="1" applyFill="1" applyBorder="1" applyAlignment="1">
      <alignment horizontal="right"/>
    </xf>
    <xf numFmtId="0" fontId="4" fillId="0" borderId="20" xfId="0" applyFont="1" applyFill="1" applyBorder="1" applyAlignment="1">
      <alignment horizontal="right"/>
    </xf>
    <xf numFmtId="0" fontId="4" fillId="0" borderId="22" xfId="0" applyFont="1" applyFill="1" applyBorder="1" applyAlignment="1">
      <alignment horizontal="right"/>
    </xf>
    <xf numFmtId="0" fontId="4" fillId="0" borderId="0" xfId="0" applyFont="1" applyFill="1" applyBorder="1" applyAlignment="1">
      <alignment horizontal="right"/>
    </xf>
    <xf numFmtId="0" fontId="4" fillId="0" borderId="13" xfId="0" applyFont="1" applyFill="1" applyBorder="1" applyAlignment="1">
      <alignment horizontal="right"/>
    </xf>
    <xf numFmtId="0" fontId="4" fillId="4" borderId="11" xfId="0" applyFont="1" applyFill="1" applyBorder="1" applyAlignment="1">
      <alignment/>
    </xf>
    <xf numFmtId="184" fontId="4" fillId="4" borderId="12" xfId="43" applyNumberFormat="1" applyFont="1" applyFill="1" applyBorder="1" applyAlignment="1">
      <alignment horizontal="right"/>
    </xf>
    <xf numFmtId="184" fontId="4" fillId="4" borderId="14" xfId="43" applyNumberFormat="1" applyFont="1" applyFill="1" applyBorder="1" applyAlignment="1">
      <alignment horizontal="right"/>
    </xf>
    <xf numFmtId="184" fontId="4" fillId="4" borderId="13" xfId="43" applyNumberFormat="1" applyFont="1" applyFill="1" applyBorder="1" applyAlignment="1">
      <alignment horizontal="right"/>
    </xf>
    <xf numFmtId="184" fontId="4" fillId="4" borderId="0" xfId="43" applyNumberFormat="1" applyFont="1" applyFill="1" applyBorder="1" applyAlignment="1">
      <alignment horizontal="right"/>
    </xf>
    <xf numFmtId="184" fontId="4" fillId="4" borderId="22" xfId="43" applyNumberFormat="1" applyFont="1" applyFill="1" applyBorder="1" applyAlignment="1">
      <alignment horizontal="right"/>
    </xf>
    <xf numFmtId="184" fontId="4" fillId="4" borderId="20" xfId="43" applyNumberFormat="1" applyFont="1" applyFill="1" applyBorder="1" applyAlignment="1">
      <alignment horizontal="right"/>
    </xf>
    <xf numFmtId="184" fontId="4" fillId="4" borderId="18" xfId="43" applyNumberFormat="1" applyFont="1" applyFill="1" applyBorder="1" applyAlignment="1">
      <alignment horizontal="right"/>
    </xf>
    <xf numFmtId="4" fontId="4" fillId="2" borderId="12" xfId="0" applyNumberFormat="1" applyFont="1" applyFill="1" applyBorder="1" applyAlignment="1">
      <alignment horizontal="right"/>
    </xf>
    <xf numFmtId="4" fontId="4" fillId="2" borderId="14" xfId="0" applyNumberFormat="1" applyFont="1" applyFill="1" applyBorder="1" applyAlignment="1">
      <alignment horizontal="right"/>
    </xf>
    <xf numFmtId="4" fontId="4" fillId="2" borderId="13" xfId="0" applyNumberFormat="1" applyFont="1" applyFill="1" applyBorder="1" applyAlignment="1">
      <alignment horizontal="right"/>
    </xf>
    <xf numFmtId="4" fontId="4" fillId="2" borderId="0" xfId="0" applyNumberFormat="1" applyFont="1" applyFill="1" applyBorder="1" applyAlignment="1">
      <alignment horizontal="right"/>
    </xf>
    <xf numFmtId="4" fontId="4" fillId="2" borderId="22" xfId="0" applyNumberFormat="1" applyFont="1" applyFill="1" applyBorder="1" applyAlignment="1">
      <alignment horizontal="right"/>
    </xf>
    <xf numFmtId="4" fontId="4" fillId="2" borderId="20" xfId="0" applyNumberFormat="1" applyFont="1" applyFill="1" applyBorder="1" applyAlignment="1">
      <alignment horizontal="right"/>
    </xf>
    <xf numFmtId="4" fontId="4" fillId="2" borderId="18" xfId="0" applyNumberFormat="1" applyFont="1" applyFill="1" applyBorder="1" applyAlignment="1">
      <alignment horizontal="right"/>
    </xf>
    <xf numFmtId="0" fontId="4" fillId="0" borderId="24" xfId="0" applyFont="1" applyFill="1" applyBorder="1" applyAlignment="1">
      <alignment/>
    </xf>
    <xf numFmtId="0" fontId="4" fillId="0" borderId="25" xfId="0" applyFont="1" applyFill="1" applyBorder="1" applyAlignment="1">
      <alignment/>
    </xf>
    <xf numFmtId="0" fontId="4" fillId="0" borderId="26" xfId="0" applyFont="1" applyFill="1" applyBorder="1" applyAlignment="1">
      <alignment/>
    </xf>
    <xf numFmtId="3" fontId="4" fillId="2" borderId="12" xfId="0" applyNumberFormat="1" applyFont="1" applyFill="1" applyBorder="1" applyAlignment="1">
      <alignment horizontal="right"/>
    </xf>
    <xf numFmtId="3" fontId="4" fillId="2" borderId="13" xfId="0" applyNumberFormat="1" applyFont="1" applyFill="1" applyBorder="1" applyAlignment="1">
      <alignment horizontal="right"/>
    </xf>
    <xf numFmtId="3" fontId="4" fillId="2" borderId="14" xfId="0" applyNumberFormat="1" applyFont="1" applyFill="1" applyBorder="1" applyAlignment="1">
      <alignment horizontal="right"/>
    </xf>
    <xf numFmtId="3" fontId="4" fillId="2" borderId="0" xfId="0" applyNumberFormat="1" applyFont="1" applyFill="1" applyBorder="1" applyAlignment="1">
      <alignment horizontal="right"/>
    </xf>
    <xf numFmtId="3" fontId="4" fillId="2" borderId="22" xfId="0" applyNumberFormat="1" applyFont="1" applyFill="1" applyBorder="1" applyAlignment="1">
      <alignment horizontal="right"/>
    </xf>
    <xf numFmtId="3" fontId="4" fillId="2" borderId="20" xfId="0" applyNumberFormat="1" applyFont="1" applyFill="1" applyBorder="1" applyAlignment="1">
      <alignment horizontal="right"/>
    </xf>
    <xf numFmtId="3" fontId="4" fillId="2" borderId="18" xfId="0" applyNumberFormat="1" applyFont="1" applyFill="1" applyBorder="1" applyAlignment="1">
      <alignment horizontal="right"/>
    </xf>
    <xf numFmtId="0" fontId="0" fillId="2" borderId="0" xfId="0" applyFill="1" applyAlignment="1">
      <alignment/>
    </xf>
    <xf numFmtId="0" fontId="0" fillId="14" borderId="27" xfId="0" applyFill="1" applyBorder="1" applyAlignment="1">
      <alignment/>
    </xf>
    <xf numFmtId="0" fontId="5" fillId="14" borderId="27" xfId="0" applyFont="1" applyFill="1" applyBorder="1" applyAlignment="1">
      <alignment/>
    </xf>
    <xf numFmtId="0" fontId="0" fillId="14" borderId="27" xfId="0" applyFill="1" applyBorder="1" applyAlignment="1">
      <alignment/>
    </xf>
    <xf numFmtId="0" fontId="0" fillId="4" borderId="0" xfId="0" applyFill="1" applyAlignment="1">
      <alignment/>
    </xf>
    <xf numFmtId="0" fontId="0" fillId="2" borderId="0" xfId="0" applyFill="1" applyBorder="1" applyAlignment="1">
      <alignment/>
    </xf>
    <xf numFmtId="0" fontId="3" fillId="34" borderId="28" xfId="0" applyFont="1" applyFill="1" applyBorder="1" applyAlignment="1">
      <alignment horizontal="center"/>
    </xf>
    <xf numFmtId="0" fontId="4" fillId="2" borderId="11" xfId="0" applyFont="1" applyFill="1" applyBorder="1" applyAlignment="1">
      <alignment vertical="center"/>
    </xf>
    <xf numFmtId="0" fontId="57" fillId="2" borderId="0" xfId="0" applyFont="1" applyFill="1" applyAlignment="1">
      <alignment/>
    </xf>
    <xf numFmtId="0" fontId="57" fillId="4" borderId="0" xfId="0" applyFont="1" applyFill="1" applyAlignment="1">
      <alignment/>
    </xf>
    <xf numFmtId="0" fontId="0" fillId="2" borderId="0" xfId="0" applyFill="1" applyAlignment="1">
      <alignment vertical="center"/>
    </xf>
    <xf numFmtId="0" fontId="57" fillId="0" borderId="0" xfId="0" applyFont="1" applyBorder="1" applyAlignment="1">
      <alignment/>
    </xf>
    <xf numFmtId="0" fontId="4" fillId="2" borderId="12" xfId="0" applyFont="1" applyFill="1" applyBorder="1" applyAlignment="1">
      <alignment/>
    </xf>
    <xf numFmtId="10" fontId="4" fillId="0" borderId="12" xfId="61" applyNumberFormat="1" applyFont="1" applyFill="1" applyBorder="1" applyAlignment="1">
      <alignment horizontal="right"/>
    </xf>
    <xf numFmtId="10" fontId="4" fillId="0" borderId="18" xfId="61" applyNumberFormat="1" applyFont="1" applyFill="1" applyBorder="1" applyAlignment="1">
      <alignment horizontal="right"/>
    </xf>
    <xf numFmtId="10" fontId="4" fillId="0" borderId="14" xfId="61" applyNumberFormat="1" applyFont="1" applyFill="1" applyBorder="1" applyAlignment="1">
      <alignment horizontal="right"/>
    </xf>
    <xf numFmtId="10" fontId="4" fillId="0" borderId="0" xfId="61" applyNumberFormat="1" applyFont="1" applyFill="1" applyBorder="1" applyAlignment="1">
      <alignment horizontal="right"/>
    </xf>
    <xf numFmtId="10" fontId="4" fillId="0" borderId="22" xfId="61" applyNumberFormat="1" applyFont="1" applyFill="1" applyBorder="1" applyAlignment="1">
      <alignment horizontal="right"/>
    </xf>
    <xf numFmtId="10" fontId="4" fillId="0" borderId="20" xfId="61" applyNumberFormat="1" applyFont="1" applyFill="1" applyBorder="1" applyAlignment="1">
      <alignment horizontal="right"/>
    </xf>
    <xf numFmtId="10" fontId="4" fillId="0" borderId="13" xfId="61" applyNumberFormat="1" applyFont="1" applyFill="1" applyBorder="1" applyAlignment="1">
      <alignment horizontal="right"/>
    </xf>
    <xf numFmtId="0" fontId="4" fillId="33" borderId="11" xfId="0" applyFont="1" applyFill="1" applyBorder="1" applyAlignment="1">
      <alignment/>
    </xf>
    <xf numFmtId="184" fontId="4" fillId="33" borderId="12" xfId="43" applyNumberFormat="1" applyFont="1" applyFill="1" applyBorder="1" applyAlignment="1">
      <alignment horizontal="right"/>
    </xf>
    <xf numFmtId="184" fontId="4" fillId="33" borderId="13" xfId="43" applyNumberFormat="1" applyFont="1" applyFill="1" applyBorder="1" applyAlignment="1">
      <alignment horizontal="right"/>
    </xf>
    <xf numFmtId="184" fontId="4" fillId="33" borderId="14" xfId="43" applyNumberFormat="1" applyFont="1" applyFill="1" applyBorder="1" applyAlignment="1">
      <alignment horizontal="right"/>
    </xf>
    <xf numFmtId="184" fontId="4" fillId="33" borderId="0" xfId="43" applyNumberFormat="1" applyFont="1" applyFill="1" applyBorder="1" applyAlignment="1">
      <alignment horizontal="right"/>
    </xf>
    <xf numFmtId="184" fontId="4" fillId="33" borderId="22" xfId="43" applyNumberFormat="1" applyFont="1" applyFill="1" applyBorder="1" applyAlignment="1">
      <alignment horizontal="right"/>
    </xf>
    <xf numFmtId="184" fontId="4" fillId="33" borderId="20" xfId="43" applyNumberFormat="1" applyFont="1" applyFill="1" applyBorder="1" applyAlignment="1">
      <alignment horizontal="right"/>
    </xf>
    <xf numFmtId="184" fontId="4" fillId="33" borderId="18" xfId="43" applyNumberFormat="1" applyFont="1" applyFill="1" applyBorder="1" applyAlignment="1">
      <alignment horizontal="right"/>
    </xf>
    <xf numFmtId="43" fontId="4" fillId="0" borderId="12" xfId="43" applyFont="1" applyFill="1" applyBorder="1" applyAlignment="1">
      <alignment horizontal="right"/>
    </xf>
    <xf numFmtId="43" fontId="4" fillId="0" borderId="13" xfId="43" applyFont="1" applyFill="1" applyBorder="1" applyAlignment="1">
      <alignment horizontal="right"/>
    </xf>
    <xf numFmtId="43" fontId="4" fillId="0" borderId="14" xfId="43" applyFont="1" applyFill="1" applyBorder="1" applyAlignment="1">
      <alignment horizontal="right"/>
    </xf>
    <xf numFmtId="43" fontId="4" fillId="0" borderId="0" xfId="43" applyFont="1" applyFill="1" applyBorder="1" applyAlignment="1">
      <alignment horizontal="right"/>
    </xf>
    <xf numFmtId="43" fontId="4" fillId="0" borderId="22" xfId="43" applyFont="1" applyFill="1" applyBorder="1" applyAlignment="1">
      <alignment horizontal="right"/>
    </xf>
    <xf numFmtId="43" fontId="4" fillId="0" borderId="20" xfId="43" applyFont="1" applyFill="1" applyBorder="1" applyAlignment="1">
      <alignment horizontal="right"/>
    </xf>
    <xf numFmtId="43" fontId="4" fillId="0" borderId="18" xfId="43" applyFont="1" applyFill="1" applyBorder="1" applyAlignment="1">
      <alignment horizontal="right"/>
    </xf>
    <xf numFmtId="43" fontId="4" fillId="2" borderId="12" xfId="43" applyFont="1" applyFill="1" applyBorder="1" applyAlignment="1">
      <alignment horizontal="left" vertical="center"/>
    </xf>
    <xf numFmtId="184" fontId="4" fillId="2" borderId="0" xfId="43" applyNumberFormat="1" applyFont="1" applyFill="1" applyBorder="1" applyAlignment="1">
      <alignment horizontal="center"/>
    </xf>
    <xf numFmtId="10" fontId="4" fillId="33" borderId="13" xfId="61" applyNumberFormat="1" applyFont="1" applyFill="1" applyBorder="1" applyAlignment="1">
      <alignment horizontal="right"/>
    </xf>
    <xf numFmtId="10" fontId="4" fillId="33" borderId="12" xfId="61" applyNumberFormat="1" applyFont="1" applyFill="1" applyBorder="1" applyAlignment="1">
      <alignment horizontal="right"/>
    </xf>
    <xf numFmtId="10" fontId="4" fillId="33" borderId="14" xfId="61" applyNumberFormat="1" applyFont="1" applyFill="1" applyBorder="1" applyAlignment="1">
      <alignment horizontal="right"/>
    </xf>
    <xf numFmtId="10" fontId="4" fillId="33" borderId="18" xfId="61" applyNumberFormat="1" applyFont="1" applyFill="1" applyBorder="1" applyAlignment="1">
      <alignment horizontal="right"/>
    </xf>
    <xf numFmtId="10" fontId="4" fillId="33" borderId="22" xfId="61" applyNumberFormat="1" applyFont="1" applyFill="1" applyBorder="1" applyAlignment="1">
      <alignment horizontal="right"/>
    </xf>
    <xf numFmtId="10" fontId="4" fillId="33" borderId="20" xfId="61" applyNumberFormat="1" applyFont="1" applyFill="1" applyBorder="1" applyAlignment="1">
      <alignment horizontal="right"/>
    </xf>
    <xf numFmtId="10" fontId="4" fillId="33" borderId="0" xfId="61" applyNumberFormat="1" applyFont="1" applyFill="1" applyBorder="1" applyAlignment="1">
      <alignment horizontal="right"/>
    </xf>
    <xf numFmtId="43" fontId="4" fillId="33" borderId="13" xfId="43" applyFont="1" applyFill="1" applyBorder="1" applyAlignment="1">
      <alignment horizontal="right"/>
    </xf>
    <xf numFmtId="43" fontId="4" fillId="33" borderId="14" xfId="43" applyFont="1" applyFill="1" applyBorder="1" applyAlignment="1">
      <alignment horizontal="right"/>
    </xf>
    <xf numFmtId="43" fontId="4" fillId="33" borderId="0" xfId="43" applyFont="1" applyFill="1" applyBorder="1" applyAlignment="1">
      <alignment horizontal="right"/>
    </xf>
    <xf numFmtId="43" fontId="4" fillId="33" borderId="18" xfId="43" applyFont="1" applyFill="1" applyBorder="1" applyAlignment="1">
      <alignment horizontal="right"/>
    </xf>
    <xf numFmtId="43" fontId="4" fillId="33" borderId="20" xfId="43" applyFont="1" applyFill="1" applyBorder="1" applyAlignment="1">
      <alignment horizontal="right"/>
    </xf>
    <xf numFmtId="0" fontId="3" fillId="34" borderId="29" xfId="0" applyFont="1" applyFill="1" applyBorder="1" applyAlignment="1">
      <alignment horizontal="center"/>
    </xf>
    <xf numFmtId="184" fontId="57" fillId="0" borderId="14" xfId="43" applyNumberFormat="1" applyFont="1" applyBorder="1" applyAlignment="1">
      <alignment/>
    </xf>
    <xf numFmtId="184" fontId="57" fillId="0" borderId="18" xfId="43" applyNumberFormat="1" applyFont="1" applyBorder="1" applyAlignment="1">
      <alignment/>
    </xf>
    <xf numFmtId="10" fontId="57" fillId="0" borderId="0" xfId="61" applyNumberFormat="1" applyFont="1" applyBorder="1" applyAlignment="1">
      <alignment/>
    </xf>
    <xf numFmtId="0" fontId="4" fillId="0" borderId="11" xfId="0" applyFont="1" applyBorder="1" applyAlignment="1">
      <alignment horizontal="right"/>
    </xf>
    <xf numFmtId="0" fontId="3" fillId="0" borderId="9" xfId="0" applyFont="1" applyFill="1" applyBorder="1" applyAlignment="1">
      <alignment horizontal="center"/>
    </xf>
    <xf numFmtId="184" fontId="4" fillId="0" borderId="11" xfId="43" applyNumberFormat="1" applyFont="1" applyFill="1" applyBorder="1" applyAlignment="1">
      <alignment horizontal="right"/>
    </xf>
    <xf numFmtId="0" fontId="58" fillId="0" borderId="0" xfId="0" applyFont="1" applyAlignment="1">
      <alignment/>
    </xf>
    <xf numFmtId="0" fontId="57" fillId="0" borderId="18" xfId="0" applyFont="1" applyBorder="1" applyAlignment="1">
      <alignment/>
    </xf>
    <xf numFmtId="43" fontId="57" fillId="0" borderId="0" xfId="43" applyFont="1" applyBorder="1" applyAlignment="1">
      <alignment/>
    </xf>
    <xf numFmtId="43" fontId="57" fillId="0" borderId="18" xfId="43" applyFont="1" applyBorder="1" applyAlignment="1">
      <alignment/>
    </xf>
    <xf numFmtId="0" fontId="0" fillId="0" borderId="30" xfId="0" applyFill="1" applyBorder="1" applyAlignment="1">
      <alignment/>
    </xf>
    <xf numFmtId="0" fontId="0" fillId="0" borderId="11" xfId="0" applyFill="1" applyBorder="1" applyAlignment="1">
      <alignment/>
    </xf>
    <xf numFmtId="184" fontId="4" fillId="2" borderId="11" xfId="43" applyNumberFormat="1" applyFont="1" applyFill="1" applyBorder="1" applyAlignment="1">
      <alignment horizontal="right"/>
    </xf>
    <xf numFmtId="184" fontId="4" fillId="4" borderId="11" xfId="43" applyNumberFormat="1" applyFont="1" applyFill="1" applyBorder="1" applyAlignment="1">
      <alignment horizontal="right"/>
    </xf>
    <xf numFmtId="4" fontId="4" fillId="2" borderId="11" xfId="0" applyNumberFormat="1" applyFont="1" applyFill="1" applyBorder="1" applyAlignment="1">
      <alignment horizontal="right"/>
    </xf>
    <xf numFmtId="4" fontId="4" fillId="0" borderId="11" xfId="0" applyNumberFormat="1" applyFont="1" applyFill="1" applyBorder="1" applyAlignment="1">
      <alignment horizontal="right"/>
    </xf>
    <xf numFmtId="10" fontId="4" fillId="2" borderId="11" xfId="61" applyNumberFormat="1" applyFont="1" applyFill="1" applyBorder="1" applyAlignment="1">
      <alignment horizontal="right"/>
    </xf>
    <xf numFmtId="3" fontId="4" fillId="2" borderId="11" xfId="0" applyNumberFormat="1" applyFont="1" applyFill="1" applyBorder="1" applyAlignment="1">
      <alignment horizontal="right"/>
    </xf>
    <xf numFmtId="184" fontId="4" fillId="2" borderId="11" xfId="43" applyNumberFormat="1" applyFont="1" applyFill="1" applyBorder="1" applyAlignment="1">
      <alignment horizontal="center"/>
    </xf>
    <xf numFmtId="0" fontId="4" fillId="0" borderId="11" xfId="0" applyFont="1" applyFill="1" applyBorder="1" applyAlignment="1">
      <alignment horizontal="right"/>
    </xf>
    <xf numFmtId="0" fontId="0" fillId="0" borderId="31" xfId="0" applyFill="1" applyBorder="1" applyAlignment="1">
      <alignment/>
    </xf>
    <xf numFmtId="0" fontId="59" fillId="0" borderId="18" xfId="0" applyFont="1" applyBorder="1" applyAlignment="1">
      <alignment/>
    </xf>
    <xf numFmtId="0" fontId="57" fillId="0" borderId="14" xfId="0" applyFont="1" applyBorder="1" applyAlignment="1">
      <alignment/>
    </xf>
    <xf numFmtId="43" fontId="57" fillId="0" borderId="14" xfId="43" applyFont="1" applyBorder="1" applyAlignment="1">
      <alignment/>
    </xf>
    <xf numFmtId="10" fontId="57" fillId="0" borderId="14" xfId="61" applyNumberFormat="1" applyFont="1" applyBorder="1" applyAlignment="1">
      <alignment/>
    </xf>
    <xf numFmtId="10" fontId="57" fillId="0" borderId="18" xfId="61" applyNumberFormat="1" applyFont="1" applyBorder="1" applyAlignment="1">
      <alignment/>
    </xf>
    <xf numFmtId="43" fontId="57" fillId="0" borderId="14" xfId="43" applyFont="1" applyFill="1" applyBorder="1" applyAlignment="1">
      <alignment/>
    </xf>
    <xf numFmtId="43" fontId="57" fillId="0" borderId="18" xfId="43" applyFont="1" applyFill="1" applyBorder="1" applyAlignment="1">
      <alignment/>
    </xf>
    <xf numFmtId="10" fontId="57" fillId="0" borderId="14" xfId="61" applyNumberFormat="1" applyFont="1" applyFill="1" applyBorder="1" applyAlignment="1">
      <alignment/>
    </xf>
    <xf numFmtId="10" fontId="57" fillId="0" borderId="18" xfId="61" applyNumberFormat="1" applyFont="1" applyFill="1" applyBorder="1" applyAlignment="1">
      <alignment/>
    </xf>
    <xf numFmtId="0" fontId="57" fillId="0" borderId="14" xfId="0" applyFont="1" applyFill="1" applyBorder="1" applyAlignment="1">
      <alignment/>
    </xf>
    <xf numFmtId="0" fontId="57" fillId="0" borderId="18" xfId="0" applyFont="1" applyFill="1" applyBorder="1" applyAlignment="1">
      <alignment/>
    </xf>
    <xf numFmtId="0" fontId="57" fillId="0" borderId="0" xfId="0" applyFont="1" applyFill="1" applyBorder="1" applyAlignment="1">
      <alignment/>
    </xf>
    <xf numFmtId="0" fontId="59" fillId="0" borderId="18" xfId="0" applyFont="1" applyFill="1" applyBorder="1" applyAlignment="1">
      <alignment/>
    </xf>
    <xf numFmtId="43" fontId="57" fillId="0" borderId="0" xfId="43" applyFont="1" applyFill="1" applyBorder="1" applyAlignment="1">
      <alignment/>
    </xf>
    <xf numFmtId="10" fontId="57" fillId="0" borderId="0" xfId="61" applyNumberFormat="1" applyFont="1" applyFill="1" applyBorder="1" applyAlignment="1">
      <alignment/>
    </xf>
    <xf numFmtId="184" fontId="57" fillId="0" borderId="0" xfId="43" applyNumberFormat="1" applyFont="1" applyBorder="1" applyAlignment="1">
      <alignment/>
    </xf>
    <xf numFmtId="0" fontId="3" fillId="34" borderId="32" xfId="0" applyFont="1" applyFill="1" applyBorder="1" applyAlignment="1">
      <alignment horizontal="center"/>
    </xf>
    <xf numFmtId="184" fontId="4" fillId="2" borderId="12" xfId="43" applyNumberFormat="1" applyFont="1" applyFill="1" applyBorder="1" applyAlignment="1">
      <alignment horizontal="center"/>
    </xf>
    <xf numFmtId="0" fontId="5" fillId="34" borderId="18" xfId="0" applyFont="1" applyFill="1" applyBorder="1" applyAlignment="1">
      <alignment horizontal="left"/>
    </xf>
    <xf numFmtId="0" fontId="36" fillId="0" borderId="11" xfId="1" applyFill="1" applyBorder="1" applyAlignment="1">
      <alignment/>
    </xf>
    <xf numFmtId="184" fontId="36" fillId="0" borderId="12" xfId="1" applyNumberFormat="1" applyFill="1" applyBorder="1" applyAlignment="1">
      <alignment horizontal="right"/>
    </xf>
    <xf numFmtId="184" fontId="36" fillId="0" borderId="13" xfId="1" applyNumberFormat="1" applyFill="1" applyBorder="1" applyAlignment="1">
      <alignment horizontal="right"/>
    </xf>
    <xf numFmtId="184" fontId="36" fillId="0" borderId="14" xfId="1" applyNumberFormat="1" applyFill="1" applyBorder="1" applyAlignment="1">
      <alignment horizontal="right"/>
    </xf>
    <xf numFmtId="184" fontId="36" fillId="0" borderId="0" xfId="1" applyNumberFormat="1" applyFill="1" applyBorder="1" applyAlignment="1">
      <alignment horizontal="right"/>
    </xf>
    <xf numFmtId="184" fontId="36" fillId="0" borderId="22" xfId="1" applyNumberFormat="1" applyFill="1" applyBorder="1" applyAlignment="1">
      <alignment horizontal="right"/>
    </xf>
    <xf numFmtId="184" fontId="36" fillId="0" borderId="20" xfId="1" applyNumberFormat="1" applyFill="1" applyBorder="1" applyAlignment="1">
      <alignment horizontal="right"/>
    </xf>
    <xf numFmtId="184" fontId="36" fillId="0" borderId="18" xfId="1" applyNumberFormat="1" applyFill="1" applyBorder="1" applyAlignment="1">
      <alignment horizontal="right"/>
    </xf>
    <xf numFmtId="10" fontId="0" fillId="0" borderId="14" xfId="0" applyNumberFormat="1" applyFill="1" applyBorder="1" applyAlignment="1">
      <alignment/>
    </xf>
    <xf numFmtId="10" fontId="0" fillId="0" borderId="0" xfId="0" applyNumberFormat="1" applyFill="1" applyBorder="1" applyAlignment="1">
      <alignment/>
    </xf>
    <xf numFmtId="10" fontId="0" fillId="0" borderId="12" xfId="0" applyNumberFormat="1" applyFill="1" applyBorder="1" applyAlignment="1">
      <alignment horizontal="right"/>
    </xf>
    <xf numFmtId="10" fontId="0" fillId="0" borderId="13" xfId="0" applyNumberFormat="1" applyFill="1" applyBorder="1" applyAlignment="1">
      <alignment horizontal="right"/>
    </xf>
    <xf numFmtId="10" fontId="0" fillId="0" borderId="14" xfId="0" applyNumberFormat="1" applyFill="1" applyBorder="1" applyAlignment="1">
      <alignment horizontal="right"/>
    </xf>
    <xf numFmtId="10" fontId="0" fillId="0" borderId="0" xfId="0" applyNumberFormat="1" applyFill="1" applyBorder="1" applyAlignment="1">
      <alignment horizontal="right"/>
    </xf>
    <xf numFmtId="10" fontId="0" fillId="0" borderId="22" xfId="0" applyNumberFormat="1" applyFill="1" applyBorder="1" applyAlignment="1">
      <alignment horizontal="right"/>
    </xf>
    <xf numFmtId="10" fontId="0" fillId="0" borderId="20" xfId="0" applyNumberFormat="1" applyFill="1" applyBorder="1" applyAlignment="1">
      <alignment horizontal="right"/>
    </xf>
    <xf numFmtId="10" fontId="0" fillId="0" borderId="18" xfId="0" applyNumberFormat="1" applyFill="1" applyBorder="1" applyAlignment="1">
      <alignment horizontal="right"/>
    </xf>
    <xf numFmtId="10" fontId="0" fillId="0" borderId="18" xfId="0" applyNumberFormat="1" applyFill="1" applyBorder="1" applyAlignment="1">
      <alignment/>
    </xf>
    <xf numFmtId="184" fontId="0" fillId="0" borderId="12" xfId="0" applyNumberFormat="1" applyFill="1" applyBorder="1" applyAlignment="1">
      <alignment horizontal="right"/>
    </xf>
    <xf numFmtId="184" fontId="0" fillId="0" borderId="13" xfId="0" applyNumberFormat="1" applyFill="1" applyBorder="1" applyAlignment="1">
      <alignment horizontal="right"/>
    </xf>
    <xf numFmtId="184" fontId="0" fillId="0" borderId="14" xfId="0" applyNumberFormat="1" applyFill="1" applyBorder="1" applyAlignment="1">
      <alignment horizontal="right"/>
    </xf>
    <xf numFmtId="184" fontId="0" fillId="0" borderId="0" xfId="0" applyNumberFormat="1" applyFill="1" applyBorder="1" applyAlignment="1">
      <alignment horizontal="right"/>
    </xf>
    <xf numFmtId="184" fontId="0" fillId="0" borderId="22" xfId="0" applyNumberFormat="1" applyFill="1" applyBorder="1" applyAlignment="1">
      <alignment horizontal="right"/>
    </xf>
    <xf numFmtId="184" fontId="0" fillId="0" borderId="20" xfId="0" applyNumberFormat="1" applyFill="1" applyBorder="1" applyAlignment="1">
      <alignment horizontal="right"/>
    </xf>
    <xf numFmtId="184" fontId="0" fillId="0" borderId="18" xfId="0" applyNumberFormat="1" applyFill="1" applyBorder="1" applyAlignment="1">
      <alignment horizontal="right"/>
    </xf>
    <xf numFmtId="0" fontId="36" fillId="0" borderId="0" xfId="1" applyFill="1" applyAlignment="1">
      <alignment/>
    </xf>
    <xf numFmtId="0" fontId="4" fillId="4" borderId="12" xfId="0" applyFont="1" applyFill="1" applyBorder="1" applyAlignment="1">
      <alignment/>
    </xf>
    <xf numFmtId="10" fontId="57" fillId="33" borderId="14" xfId="61" applyNumberFormat="1" applyFont="1" applyFill="1" applyBorder="1" applyAlignment="1">
      <alignment/>
    </xf>
    <xf numFmtId="10" fontId="57" fillId="33" borderId="18" xfId="61" applyNumberFormat="1" applyFont="1" applyFill="1" applyBorder="1" applyAlignment="1">
      <alignment/>
    </xf>
    <xf numFmtId="184" fontId="57" fillId="4" borderId="0" xfId="43" applyNumberFormat="1" applyFont="1" applyFill="1" applyBorder="1" applyAlignment="1">
      <alignment/>
    </xf>
    <xf numFmtId="184" fontId="57" fillId="4" borderId="14" xfId="43" applyNumberFormat="1" applyFont="1" applyFill="1" applyBorder="1" applyAlignment="1">
      <alignment/>
    </xf>
    <xf numFmtId="184" fontId="57" fillId="4" borderId="18" xfId="43" applyNumberFormat="1" applyFont="1" applyFill="1" applyBorder="1" applyAlignment="1">
      <alignment/>
    </xf>
    <xf numFmtId="43" fontId="4" fillId="33" borderId="22" xfId="43" applyFont="1" applyFill="1" applyBorder="1" applyAlignment="1">
      <alignment horizontal="right"/>
    </xf>
    <xf numFmtId="43" fontId="57" fillId="33" borderId="0" xfId="43" applyFont="1" applyFill="1" applyBorder="1" applyAlignment="1">
      <alignment/>
    </xf>
    <xf numFmtId="0" fontId="4" fillId="35" borderId="11" xfId="0" applyFont="1" applyFill="1" applyBorder="1" applyAlignment="1">
      <alignment/>
    </xf>
    <xf numFmtId="184" fontId="4" fillId="35" borderId="22" xfId="43" applyNumberFormat="1" applyFont="1" applyFill="1" applyBorder="1" applyAlignment="1">
      <alignment horizontal="right"/>
    </xf>
    <xf numFmtId="184" fontId="4" fillId="35" borderId="20" xfId="43" applyNumberFormat="1" applyFont="1" applyFill="1" applyBorder="1" applyAlignment="1">
      <alignment horizontal="right"/>
    </xf>
    <xf numFmtId="184" fontId="4" fillId="35" borderId="14" xfId="43" applyNumberFormat="1" applyFont="1" applyFill="1" applyBorder="1" applyAlignment="1">
      <alignment horizontal="right"/>
    </xf>
    <xf numFmtId="184" fontId="4" fillId="35" borderId="18" xfId="43" applyNumberFormat="1" applyFont="1" applyFill="1" applyBorder="1" applyAlignment="1">
      <alignment horizontal="right"/>
    </xf>
    <xf numFmtId="184" fontId="4" fillId="35" borderId="0" xfId="43" applyNumberFormat="1" applyFont="1" applyFill="1" applyBorder="1" applyAlignment="1">
      <alignment horizontal="right"/>
    </xf>
    <xf numFmtId="184" fontId="4" fillId="35" borderId="13" xfId="43" applyNumberFormat="1" applyFont="1" applyFill="1" applyBorder="1" applyAlignment="1">
      <alignment horizontal="right"/>
    </xf>
    <xf numFmtId="184" fontId="4" fillId="35" borderId="12" xfId="43" applyNumberFormat="1" applyFont="1" applyFill="1" applyBorder="1" applyAlignment="1">
      <alignment horizontal="right"/>
    </xf>
    <xf numFmtId="0" fontId="0" fillId="35" borderId="0" xfId="0" applyFill="1" applyAlignment="1">
      <alignment/>
    </xf>
    <xf numFmtId="43" fontId="4" fillId="2" borderId="22" xfId="43" applyNumberFormat="1" applyFont="1" applyFill="1" applyBorder="1" applyAlignment="1">
      <alignment horizontal="right"/>
    </xf>
    <xf numFmtId="43" fontId="4" fillId="2" borderId="20" xfId="43" applyNumberFormat="1" applyFont="1" applyFill="1" applyBorder="1" applyAlignment="1">
      <alignment horizontal="right"/>
    </xf>
    <xf numFmtId="43" fontId="4" fillId="2" borderId="14" xfId="43" applyNumberFormat="1" applyFont="1" applyFill="1" applyBorder="1" applyAlignment="1">
      <alignment horizontal="right"/>
    </xf>
    <xf numFmtId="43" fontId="4" fillId="2" borderId="18" xfId="43" applyNumberFormat="1" applyFont="1" applyFill="1" applyBorder="1" applyAlignment="1">
      <alignment horizontal="right"/>
    </xf>
    <xf numFmtId="43" fontId="4" fillId="2" borderId="0" xfId="43" applyNumberFormat="1" applyFont="1" applyFill="1" applyBorder="1" applyAlignment="1">
      <alignment horizontal="right"/>
    </xf>
    <xf numFmtId="43" fontId="4" fillId="2" borderId="13" xfId="43" applyNumberFormat="1" applyFont="1" applyFill="1" applyBorder="1" applyAlignment="1">
      <alignment horizontal="right"/>
    </xf>
    <xf numFmtId="43" fontId="4" fillId="2" borderId="12" xfId="43" applyNumberFormat="1" applyFont="1" applyFill="1" applyBorder="1" applyAlignment="1">
      <alignment horizontal="right"/>
    </xf>
    <xf numFmtId="184" fontId="4" fillId="35" borderId="11" xfId="43" applyNumberFormat="1" applyFont="1" applyFill="1" applyBorder="1" applyAlignment="1">
      <alignment horizontal="right"/>
    </xf>
    <xf numFmtId="43" fontId="4" fillId="2" borderId="11" xfId="43" applyNumberFormat="1" applyFont="1" applyFill="1" applyBorder="1" applyAlignment="1">
      <alignment horizontal="right"/>
    </xf>
    <xf numFmtId="184" fontId="4" fillId="33" borderId="11" xfId="43" applyNumberFormat="1" applyFont="1" applyFill="1" applyBorder="1" applyAlignment="1">
      <alignment horizontal="right"/>
    </xf>
    <xf numFmtId="184" fontId="4" fillId="2" borderId="22" xfId="43" applyNumberFormat="1" applyFont="1" applyFill="1" applyBorder="1" applyAlignment="1">
      <alignment horizontal="right" vertical="center"/>
    </xf>
    <xf numFmtId="184" fontId="4" fillId="2" borderId="11" xfId="43" applyNumberFormat="1" applyFont="1" applyFill="1" applyBorder="1" applyAlignment="1">
      <alignment horizontal="right" vertical="center"/>
    </xf>
    <xf numFmtId="43" fontId="4" fillId="2" borderId="22" xfId="43" applyNumberFormat="1" applyFont="1" applyFill="1" applyBorder="1" applyAlignment="1">
      <alignment horizontal="right" vertical="center"/>
    </xf>
    <xf numFmtId="43" fontId="4" fillId="2" borderId="11" xfId="43" applyNumberFormat="1" applyFont="1" applyFill="1" applyBorder="1" applyAlignment="1">
      <alignment horizontal="right" vertical="center"/>
    </xf>
    <xf numFmtId="0" fontId="4" fillId="35" borderId="12" xfId="0" applyFont="1" applyFill="1" applyBorder="1" applyAlignment="1">
      <alignment/>
    </xf>
    <xf numFmtId="10" fontId="4" fillId="35" borderId="22" xfId="61" applyNumberFormat="1" applyFont="1" applyFill="1" applyBorder="1" applyAlignment="1">
      <alignment horizontal="right"/>
    </xf>
    <xf numFmtId="10" fontId="4" fillId="35" borderId="20" xfId="61" applyNumberFormat="1" applyFont="1" applyFill="1" applyBorder="1" applyAlignment="1">
      <alignment horizontal="right"/>
    </xf>
    <xf numFmtId="10" fontId="4" fillId="35" borderId="14" xfId="61" applyNumberFormat="1" applyFont="1" applyFill="1" applyBorder="1" applyAlignment="1">
      <alignment horizontal="right"/>
    </xf>
    <xf numFmtId="10" fontId="4" fillId="35" borderId="18" xfId="61" applyNumberFormat="1" applyFont="1" applyFill="1" applyBorder="1" applyAlignment="1">
      <alignment horizontal="right"/>
    </xf>
    <xf numFmtId="10" fontId="4" fillId="35" borderId="0" xfId="61" applyNumberFormat="1" applyFont="1" applyFill="1" applyBorder="1" applyAlignment="1">
      <alignment horizontal="right"/>
    </xf>
    <xf numFmtId="10" fontId="4" fillId="35" borderId="13" xfId="61" applyNumberFormat="1" applyFont="1" applyFill="1" applyBorder="1" applyAlignment="1">
      <alignment horizontal="right"/>
    </xf>
    <xf numFmtId="10" fontId="4" fillId="35" borderId="12" xfId="61" applyNumberFormat="1" applyFont="1" applyFill="1" applyBorder="1" applyAlignment="1">
      <alignment horizontal="right"/>
    </xf>
    <xf numFmtId="2" fontId="4" fillId="2" borderId="22" xfId="61" applyNumberFormat="1" applyFont="1" applyFill="1" applyBorder="1" applyAlignment="1">
      <alignment horizontal="right" vertical="center"/>
    </xf>
    <xf numFmtId="2" fontId="4" fillId="2" borderId="20" xfId="61" applyNumberFormat="1" applyFont="1" applyFill="1" applyBorder="1" applyAlignment="1">
      <alignment horizontal="right" vertical="center"/>
    </xf>
    <xf numFmtId="2" fontId="4" fillId="2" borderId="14" xfId="61" applyNumberFormat="1" applyFont="1" applyFill="1" applyBorder="1" applyAlignment="1">
      <alignment horizontal="right" vertical="center"/>
    </xf>
    <xf numFmtId="2" fontId="4" fillId="2" borderId="18" xfId="61" applyNumberFormat="1" applyFont="1" applyFill="1" applyBorder="1" applyAlignment="1">
      <alignment horizontal="right" vertical="center"/>
    </xf>
    <xf numFmtId="2" fontId="4" fillId="2" borderId="0" xfId="61" applyNumberFormat="1" applyFont="1" applyFill="1" applyBorder="1" applyAlignment="1">
      <alignment horizontal="right" vertical="center"/>
    </xf>
    <xf numFmtId="2" fontId="4" fillId="2" borderId="13" xfId="61" applyNumberFormat="1" applyFont="1" applyFill="1" applyBorder="1" applyAlignment="1">
      <alignment horizontal="right" vertical="center"/>
    </xf>
    <xf numFmtId="2" fontId="4" fillId="2" borderId="12" xfId="61" applyNumberFormat="1" applyFont="1" applyFill="1" applyBorder="1" applyAlignment="1">
      <alignment horizontal="right" vertical="center"/>
    </xf>
    <xf numFmtId="184" fontId="4" fillId="0" borderId="33" xfId="43" applyNumberFormat="1" applyFont="1" applyFill="1" applyBorder="1" applyAlignment="1">
      <alignment horizontal="right"/>
    </xf>
    <xf numFmtId="0" fontId="4" fillId="35" borderId="12" xfId="15" applyFont="1" applyFill="1" applyBorder="1" applyAlignment="1" applyProtection="1">
      <alignment/>
      <protection/>
    </xf>
    <xf numFmtId="0" fontId="57" fillId="35" borderId="0" xfId="0" applyFont="1" applyFill="1" applyAlignment="1">
      <alignment/>
    </xf>
    <xf numFmtId="0" fontId="0" fillId="33" borderId="0" xfId="0" applyFill="1" applyAlignment="1">
      <alignment/>
    </xf>
    <xf numFmtId="0" fontId="6" fillId="35" borderId="12" xfId="0" applyFont="1" applyFill="1" applyBorder="1" applyAlignment="1" applyProtection="1">
      <alignment/>
      <protection/>
    </xf>
    <xf numFmtId="0" fontId="4" fillId="33" borderId="11" xfId="0" applyFont="1" applyFill="1" applyBorder="1" applyAlignment="1">
      <alignment/>
    </xf>
    <xf numFmtId="0" fontId="57" fillId="35" borderId="12" xfId="0" applyFont="1" applyFill="1" applyBorder="1" applyAlignment="1">
      <alignment/>
    </xf>
    <xf numFmtId="0" fontId="57" fillId="35" borderId="0" xfId="0" applyFont="1" applyFill="1" applyAlignment="1">
      <alignment/>
    </xf>
    <xf numFmtId="0" fontId="57" fillId="35" borderId="0" xfId="0" applyFont="1" applyFill="1" applyBorder="1" applyAlignment="1">
      <alignment/>
    </xf>
    <xf numFmtId="0" fontId="57" fillId="35" borderId="12" xfId="0" applyFont="1" applyFill="1" applyBorder="1" applyAlignment="1" applyProtection="1">
      <alignment/>
      <protection/>
    </xf>
    <xf numFmtId="0" fontId="0" fillId="35" borderId="27" xfId="0" applyFill="1" applyBorder="1" applyAlignment="1">
      <alignment/>
    </xf>
    <xf numFmtId="0" fontId="0" fillId="35" borderId="29" xfId="0" applyFill="1" applyBorder="1" applyAlignment="1">
      <alignment/>
    </xf>
    <xf numFmtId="0" fontId="0" fillId="35" borderId="0" xfId="0" applyFill="1" applyBorder="1" applyAlignment="1">
      <alignment/>
    </xf>
    <xf numFmtId="0" fontId="57" fillId="33" borderId="0" xfId="0" applyFont="1" applyFill="1" applyAlignment="1">
      <alignment/>
    </xf>
    <xf numFmtId="0" fontId="0" fillId="0" borderId="0" xfId="0" applyAlignment="1">
      <alignment wrapText="1"/>
    </xf>
    <xf numFmtId="184" fontId="4" fillId="0" borderId="25" xfId="43" applyNumberFormat="1" applyFont="1" applyFill="1" applyBorder="1" applyAlignment="1">
      <alignment horizontal="right"/>
    </xf>
    <xf numFmtId="184" fontId="4" fillId="0" borderId="34" xfId="43" applyNumberFormat="1" applyFont="1" applyFill="1" applyBorder="1" applyAlignment="1">
      <alignment horizontal="right"/>
    </xf>
    <xf numFmtId="184" fontId="4" fillId="0" borderId="31" xfId="43" applyNumberFormat="1" applyFont="1" applyFill="1" applyBorder="1" applyAlignment="1">
      <alignment horizontal="right"/>
    </xf>
    <xf numFmtId="184" fontId="4" fillId="0" borderId="26" xfId="43" applyNumberFormat="1" applyFont="1" applyFill="1" applyBorder="1" applyAlignment="1">
      <alignment horizontal="right"/>
    </xf>
    <xf numFmtId="184" fontId="4" fillId="0" borderId="35" xfId="43" applyNumberFormat="1" applyFont="1" applyFill="1" applyBorder="1" applyAlignment="1">
      <alignment horizontal="right"/>
    </xf>
    <xf numFmtId="184" fontId="4" fillId="0" borderId="36" xfId="43" applyNumberFormat="1" applyFont="1" applyFill="1" applyBorder="1" applyAlignment="1">
      <alignment horizontal="right"/>
    </xf>
    <xf numFmtId="0" fontId="4" fillId="33" borderId="24" xfId="0" applyFont="1" applyFill="1" applyBorder="1" applyAlignment="1">
      <alignment/>
    </xf>
    <xf numFmtId="184" fontId="4" fillId="33" borderId="33" xfId="43" applyNumberFormat="1" applyFont="1" applyFill="1" applyBorder="1" applyAlignment="1">
      <alignment horizontal="right"/>
    </xf>
    <xf numFmtId="184" fontId="4" fillId="33" borderId="24" xfId="43" applyNumberFormat="1" applyFont="1" applyFill="1" applyBorder="1" applyAlignment="1">
      <alignment horizontal="right"/>
    </xf>
    <xf numFmtId="0" fontId="3" fillId="34" borderId="37" xfId="0" applyFont="1" applyFill="1" applyBorder="1" applyAlignment="1">
      <alignment horizontal="center"/>
    </xf>
    <xf numFmtId="204" fontId="4" fillId="33" borderId="22" xfId="61" applyNumberFormat="1" applyFont="1" applyFill="1" applyBorder="1" applyAlignment="1">
      <alignment horizontal="right"/>
    </xf>
    <xf numFmtId="204" fontId="4" fillId="33" borderId="14" xfId="61" applyNumberFormat="1" applyFont="1" applyFill="1" applyBorder="1" applyAlignment="1">
      <alignment horizontal="right"/>
    </xf>
    <xf numFmtId="204" fontId="4" fillId="33" borderId="0" xfId="61" applyNumberFormat="1" applyFont="1" applyFill="1" applyBorder="1" applyAlignment="1">
      <alignment horizontal="right"/>
    </xf>
    <xf numFmtId="204" fontId="4" fillId="33" borderId="18" xfId="61" applyNumberFormat="1" applyFont="1" applyFill="1" applyBorder="1" applyAlignment="1">
      <alignment horizontal="right"/>
    </xf>
    <xf numFmtId="204" fontId="4" fillId="33" borderId="12" xfId="61" applyNumberFormat="1" applyFont="1" applyFill="1" applyBorder="1" applyAlignment="1">
      <alignment horizontal="right"/>
    </xf>
    <xf numFmtId="0" fontId="0" fillId="35" borderId="12" xfId="0" applyFill="1" applyBorder="1" applyAlignment="1">
      <alignment/>
    </xf>
    <xf numFmtId="0" fontId="0" fillId="35" borderId="18" xfId="0" applyFill="1" applyBorder="1" applyAlignment="1">
      <alignment/>
    </xf>
    <xf numFmtId="43" fontId="4" fillId="0" borderId="13" xfId="43" applyFont="1" applyFill="1" applyBorder="1" applyAlignment="1">
      <alignment horizontal="center"/>
    </xf>
    <xf numFmtId="43" fontId="4" fillId="0" borderId="22" xfId="43" applyFont="1" applyFill="1" applyBorder="1" applyAlignment="1">
      <alignment horizontal="center"/>
    </xf>
    <xf numFmtId="43" fontId="57" fillId="0" borderId="0" xfId="43" applyFont="1" applyBorder="1" applyAlignment="1">
      <alignment horizontal="center"/>
    </xf>
    <xf numFmtId="43" fontId="4" fillId="0" borderId="20" xfId="43" applyFont="1" applyFill="1" applyBorder="1" applyAlignment="1">
      <alignment horizontal="center"/>
    </xf>
    <xf numFmtId="43" fontId="4" fillId="0" borderId="14" xfId="43" applyFont="1" applyFill="1" applyBorder="1" applyAlignment="1">
      <alignment horizontal="center"/>
    </xf>
    <xf numFmtId="43" fontId="4" fillId="0" borderId="18" xfId="43" applyFont="1" applyFill="1" applyBorder="1" applyAlignment="1">
      <alignment horizontal="center"/>
    </xf>
    <xf numFmtId="43" fontId="4" fillId="0" borderId="0" xfId="43" applyFont="1" applyFill="1" applyBorder="1" applyAlignment="1">
      <alignment horizontal="center"/>
    </xf>
    <xf numFmtId="0" fontId="8" fillId="34" borderId="12" xfId="0" applyFont="1" applyFill="1" applyBorder="1" applyAlignment="1">
      <alignment horizontal="left"/>
    </xf>
    <xf numFmtId="0" fontId="8" fillId="34" borderId="0" xfId="0" applyFont="1" applyFill="1" applyBorder="1" applyAlignment="1">
      <alignment horizontal="left"/>
    </xf>
    <xf numFmtId="0" fontId="0" fillId="0" borderId="18" xfId="0" applyBorder="1" applyAlignment="1">
      <alignment horizontal="left"/>
    </xf>
    <xf numFmtId="0" fontId="60" fillId="36" borderId="38" xfId="0" applyFont="1" applyFill="1" applyBorder="1" applyAlignment="1">
      <alignment horizontal="center" vertical="center" wrapText="1"/>
    </xf>
    <xf numFmtId="0" fontId="60" fillId="36" borderId="39" xfId="0" applyFont="1" applyFill="1" applyBorder="1" applyAlignment="1">
      <alignment horizontal="center" vertical="center" wrapText="1"/>
    </xf>
    <xf numFmtId="0" fontId="61" fillId="36" borderId="40" xfId="0" applyFont="1" applyFill="1" applyBorder="1" applyAlignment="1">
      <alignment horizontal="center" vertical="center" wrapText="1"/>
    </xf>
    <xf numFmtId="0" fontId="62" fillId="36" borderId="41" xfId="0" applyFont="1" applyFill="1" applyBorder="1" applyAlignment="1">
      <alignment horizontal="left" vertical="center"/>
    </xf>
    <xf numFmtId="0" fontId="56" fillId="36" borderId="42" xfId="0" applyFont="1" applyFill="1" applyBorder="1" applyAlignment="1">
      <alignment/>
    </xf>
    <xf numFmtId="0" fontId="60" fillId="36" borderId="9" xfId="0" applyFont="1" applyFill="1" applyBorder="1" applyAlignment="1">
      <alignment horizontal="center" vertical="center" wrapText="1"/>
    </xf>
    <xf numFmtId="0" fontId="0" fillId="0" borderId="43" xfId="0" applyBorder="1" applyAlignment="1">
      <alignment horizontal="center" vertical="center" wrapText="1"/>
    </xf>
    <xf numFmtId="0" fontId="61" fillId="36" borderId="39" xfId="0" applyFont="1" applyFill="1" applyBorder="1" applyAlignment="1">
      <alignment horizontal="center" vertical="center" wrapText="1"/>
    </xf>
    <xf numFmtId="0" fontId="5" fillId="34" borderId="12" xfId="0" applyFont="1" applyFill="1" applyBorder="1" applyAlignment="1">
      <alignment horizontal="left"/>
    </xf>
    <xf numFmtId="0" fontId="5" fillId="34" borderId="0" xfId="0" applyFont="1" applyFill="1" applyBorder="1" applyAlignment="1">
      <alignment horizontal="left"/>
    </xf>
    <xf numFmtId="0" fontId="60" fillId="36" borderId="41" xfId="0" applyFont="1" applyFill="1" applyBorder="1" applyAlignment="1">
      <alignment horizontal="center" vertical="center"/>
    </xf>
    <xf numFmtId="0" fontId="0" fillId="0" borderId="42" xfId="0" applyBorder="1" applyAlignment="1">
      <alignment horizontal="center"/>
    </xf>
    <xf numFmtId="0" fontId="0" fillId="0" borderId="11" xfId="0" applyBorder="1" applyAlignment="1">
      <alignment horizontal="center"/>
    </xf>
    <xf numFmtId="0" fontId="5" fillId="34" borderId="18" xfId="0" applyFont="1" applyFill="1" applyBorder="1" applyAlignment="1">
      <alignment horizontal="left"/>
    </xf>
    <xf numFmtId="0" fontId="57" fillId="33" borderId="12" xfId="0" applyFont="1" applyFill="1" applyBorder="1" applyAlignment="1">
      <alignment/>
    </xf>
    <xf numFmtId="0" fontId="57" fillId="33" borderId="0" xfId="0" applyFont="1" applyFill="1" applyAlignment="1">
      <alignment/>
    </xf>
    <xf numFmtId="0" fontId="57" fillId="4" borderId="12" xfId="0" applyFont="1" applyFill="1" applyBorder="1" applyAlignment="1" applyProtection="1">
      <alignment/>
      <protection/>
    </xf>
    <xf numFmtId="0" fontId="57" fillId="0" borderId="0" xfId="0" applyFont="1" applyAlignment="1">
      <alignment/>
    </xf>
    <xf numFmtId="0" fontId="4" fillId="33" borderId="12" xfId="15" applyFont="1" applyFill="1" applyBorder="1" applyAlignment="1" applyProtection="1">
      <alignment/>
      <protection/>
    </xf>
    <xf numFmtId="0" fontId="57" fillId="2" borderId="12" xfId="0" applyFont="1" applyFill="1" applyBorder="1" applyAlignment="1" applyProtection="1">
      <alignment/>
      <protection/>
    </xf>
    <xf numFmtId="0" fontId="57" fillId="2" borderId="0" xfId="0" applyFont="1" applyFill="1" applyAlignment="1">
      <alignment/>
    </xf>
    <xf numFmtId="0" fontId="57" fillId="33" borderId="12" xfId="0" applyFont="1" applyFill="1" applyBorder="1" applyAlignment="1" applyProtection="1">
      <alignment/>
      <protection/>
    </xf>
    <xf numFmtId="0" fontId="57" fillId="2" borderId="44" xfId="0" applyFont="1" applyFill="1" applyBorder="1" applyAlignment="1" applyProtection="1">
      <alignment/>
      <protection/>
    </xf>
    <xf numFmtId="0" fontId="57" fillId="2" borderId="19" xfId="0" applyFont="1" applyFill="1" applyBorder="1" applyAlignment="1">
      <alignment/>
    </xf>
    <xf numFmtId="0" fontId="4" fillId="2" borderId="12" xfId="0" applyFont="1" applyFill="1" applyBorder="1" applyAlignment="1" applyProtection="1">
      <alignment/>
      <protection/>
    </xf>
    <xf numFmtId="0" fontId="57" fillId="4" borderId="12" xfId="0" applyFont="1" applyFill="1" applyBorder="1" applyAlignment="1">
      <alignment/>
    </xf>
    <xf numFmtId="0" fontId="58" fillId="2" borderId="12" xfId="0" applyFont="1" applyFill="1" applyBorder="1" applyAlignment="1">
      <alignment/>
    </xf>
    <xf numFmtId="0" fontId="0" fillId="0" borderId="0" xfId="0" applyAlignment="1">
      <alignment/>
    </xf>
    <xf numFmtId="0" fontId="57" fillId="2" borderId="12" xfId="0" applyFont="1" applyFill="1" applyBorder="1" applyAlignment="1" applyProtection="1">
      <alignment horizontal="left" vertical="center" wrapText="1"/>
      <protection/>
    </xf>
    <xf numFmtId="0" fontId="57" fillId="2" borderId="0" xfId="0" applyFont="1" applyFill="1" applyAlignment="1" applyProtection="1">
      <alignment horizontal="left" vertical="center" wrapText="1"/>
      <protection/>
    </xf>
    <xf numFmtId="0" fontId="57" fillId="0" borderId="19" xfId="0" applyFont="1" applyBorder="1" applyAlignment="1">
      <alignment/>
    </xf>
    <xf numFmtId="0" fontId="6" fillId="33" borderId="12" xfId="0" applyFont="1" applyFill="1" applyBorder="1" applyAlignment="1" applyProtection="1">
      <alignment/>
      <protection/>
    </xf>
    <xf numFmtId="0" fontId="6" fillId="4" borderId="12" xfId="0" applyFont="1" applyFill="1" applyBorder="1" applyAlignment="1" applyProtection="1">
      <alignment/>
      <protection/>
    </xf>
    <xf numFmtId="0" fontId="57" fillId="2" borderId="44" xfId="0" applyFont="1" applyFill="1" applyBorder="1" applyAlignment="1">
      <alignment wrapText="1"/>
    </xf>
    <xf numFmtId="0" fontId="0" fillId="0" borderId="19" xfId="0" applyBorder="1" applyAlignment="1">
      <alignment wrapText="1"/>
    </xf>
    <xf numFmtId="0" fontId="4" fillId="2" borderId="12" xfId="15" applyFont="1" applyFill="1" applyBorder="1" applyAlignment="1" applyProtection="1">
      <alignment wrapText="1"/>
      <protection/>
    </xf>
    <xf numFmtId="0" fontId="0" fillId="0" borderId="0" xfId="0" applyAlignment="1">
      <alignment wrapText="1"/>
    </xf>
    <xf numFmtId="0" fontId="4" fillId="4" borderId="12" xfId="15" applyFont="1" applyFill="1" applyBorder="1" applyAlignment="1" applyProtection="1">
      <alignment/>
      <protection/>
    </xf>
    <xf numFmtId="0" fontId="57" fillId="4" borderId="0" xfId="0" applyFont="1" applyFill="1" applyAlignment="1">
      <alignment/>
    </xf>
    <xf numFmtId="0" fontId="58" fillId="2" borderId="44" xfId="0" applyFont="1" applyFill="1" applyBorder="1" applyAlignment="1">
      <alignment/>
    </xf>
    <xf numFmtId="0" fontId="0" fillId="0" borderId="19" xfId="0" applyBorder="1" applyAlignment="1">
      <alignment/>
    </xf>
    <xf numFmtId="0" fontId="0" fillId="33" borderId="12" xfId="0" applyNumberFormat="1" applyFill="1" applyBorder="1" applyAlignment="1">
      <alignment vertical="center" wrapText="1"/>
    </xf>
    <xf numFmtId="0" fontId="0" fillId="33" borderId="0" xfId="0" applyFill="1" applyBorder="1" applyAlignment="1">
      <alignment vertical="center" wrapText="1"/>
    </xf>
    <xf numFmtId="0" fontId="0" fillId="33" borderId="18" xfId="0" applyFill="1" applyBorder="1" applyAlignment="1">
      <alignment vertical="center" wrapText="1"/>
    </xf>
    <xf numFmtId="0" fontId="0" fillId="33" borderId="12" xfId="0" applyFill="1" applyBorder="1" applyAlignment="1">
      <alignment/>
    </xf>
    <xf numFmtId="0" fontId="0" fillId="33" borderId="0" xfId="0" applyFill="1" applyBorder="1" applyAlignment="1">
      <alignment/>
    </xf>
    <xf numFmtId="0" fontId="0" fillId="33" borderId="18" xfId="0" applyFill="1" applyBorder="1" applyAlignment="1">
      <alignment/>
    </xf>
    <xf numFmtId="0" fontId="0" fillId="33" borderId="25" xfId="0" applyNumberFormat="1" applyFill="1" applyBorder="1" applyAlignment="1">
      <alignment wrapText="1"/>
    </xf>
    <xf numFmtId="0" fontId="0" fillId="33" borderId="26" xfId="0" applyFill="1" applyBorder="1" applyAlignment="1">
      <alignment wrapText="1"/>
    </xf>
    <xf numFmtId="0" fontId="0" fillId="33" borderId="31" xfId="0" applyFill="1" applyBorder="1" applyAlignment="1">
      <alignment wrapText="1"/>
    </xf>
    <xf numFmtId="0" fontId="0" fillId="33" borderId="12" xfId="0" applyFill="1" applyBorder="1" applyAlignment="1">
      <alignment vertical="center" wrapText="1"/>
    </xf>
    <xf numFmtId="0" fontId="63" fillId="36" borderId="9" xfId="0" applyFont="1" applyFill="1" applyBorder="1" applyAlignment="1">
      <alignment/>
    </xf>
    <xf numFmtId="0" fontId="38" fillId="36" borderId="45" xfId="0" applyFont="1" applyFill="1" applyBorder="1" applyAlignment="1">
      <alignment/>
    </xf>
    <xf numFmtId="0" fontId="38" fillId="36" borderId="43" xfId="0" applyFont="1" applyFill="1" applyBorder="1" applyAlignment="1">
      <alignment/>
    </xf>
  </cellXfs>
  <cellStyles count="54">
    <cellStyle name="Normal" xfId="0"/>
    <cellStyle name="RowLevel_0" xfId="1"/>
    <cellStyle name="RowLevel_1" xfId="3"/>
    <cellStyle name="%" xfId="15"/>
    <cellStyle name="20% - Accent1" xfId="16"/>
    <cellStyle name="20% - Accent2" xfId="17"/>
    <cellStyle name="20% - Accent3" xfId="18"/>
    <cellStyle name="20% - Accent4" xfId="19"/>
    <cellStyle name="20% - Accent5" xfId="20"/>
    <cellStyle name="20% - Accent6" xfId="21"/>
    <cellStyle name="40% - Accent1" xfId="22"/>
    <cellStyle name="40% - Accent2" xfId="23"/>
    <cellStyle name="40% - Accent3" xfId="24"/>
    <cellStyle name="40% - Accent4" xfId="25"/>
    <cellStyle name="40% - Accent5" xfId="26"/>
    <cellStyle name="40% - Accent6" xfId="27"/>
    <cellStyle name="60% - Accent1" xfId="28"/>
    <cellStyle name="60% - Accent2" xfId="29"/>
    <cellStyle name="60% - Accent3" xfId="30"/>
    <cellStyle name="60% - Accent4" xfId="31"/>
    <cellStyle name="60% - Accent5" xfId="32"/>
    <cellStyle name="60% - Accent6" xfId="33"/>
    <cellStyle name="Accent1" xfId="34"/>
    <cellStyle name="Accent2" xfId="35"/>
    <cellStyle name="Accent3" xfId="36"/>
    <cellStyle name="Accent4" xfId="37"/>
    <cellStyle name="Accent5" xfId="38"/>
    <cellStyle name="Accent6" xfId="39"/>
    <cellStyle name="Bad" xfId="40"/>
    <cellStyle name="Calculation" xfId="41"/>
    <cellStyle name="Check Cell" xfId="42"/>
    <cellStyle name="Comma" xfId="43"/>
    <cellStyle name="Comma [0]"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te" xfId="59"/>
    <cellStyle name="Output" xfId="60"/>
    <cellStyle name="Percent" xfId="61"/>
    <cellStyle name="Style 1"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Q198"/>
  <sheetViews>
    <sheetView tabSelected="1" view="pageBreakPreview" zoomScale="90" zoomScaleSheetLayoutView="90" zoomScalePageLayoutView="0" workbookViewId="0" topLeftCell="A1">
      <pane xSplit="1" ySplit="2" topLeftCell="G3" activePane="bottomRight" state="frozen"/>
      <selection pane="topLeft" activeCell="A1" sqref="A1"/>
      <selection pane="topRight" activeCell="B1" sqref="B1"/>
      <selection pane="bottomLeft" activeCell="A3" sqref="A3"/>
      <selection pane="bottomRight" activeCell="A10" sqref="A10"/>
    </sheetView>
  </sheetViews>
  <sheetFormatPr defaultColWidth="9.140625" defaultRowHeight="15" outlineLevelRow="1"/>
  <cols>
    <col min="1" max="1" width="53.421875" style="1" customWidth="1"/>
    <col min="2" max="10" width="12.421875" style="1" customWidth="1"/>
    <col min="11" max="11" width="12.8515625" style="158" bestFit="1" customWidth="1"/>
    <col min="12" max="12" width="12.57421875" style="158" bestFit="1" customWidth="1"/>
    <col min="13" max="13" width="12.7109375" style="1" bestFit="1" customWidth="1"/>
    <col min="14" max="15" width="12.421875" style="1" customWidth="1"/>
    <col min="16" max="16384" width="9.140625" style="1" customWidth="1"/>
  </cols>
  <sheetData>
    <row r="1" spans="1:15" ht="15">
      <c r="A1" s="309" t="s">
        <v>14</v>
      </c>
      <c r="B1" s="306">
        <v>2009</v>
      </c>
      <c r="C1" s="313"/>
      <c r="D1" s="313"/>
      <c r="E1" s="308"/>
      <c r="F1" s="306">
        <v>2010</v>
      </c>
      <c r="G1" s="307"/>
      <c r="H1" s="307"/>
      <c r="I1" s="308"/>
      <c r="J1" s="306">
        <v>2011</v>
      </c>
      <c r="K1" s="307"/>
      <c r="L1" s="307"/>
      <c r="M1" s="308"/>
      <c r="N1" s="311">
        <v>2012</v>
      </c>
      <c r="O1" s="312"/>
    </row>
    <row r="2" spans="1:15" ht="17.25" customHeight="1">
      <c r="A2" s="310"/>
      <c r="B2" s="35" t="s">
        <v>0</v>
      </c>
      <c r="C2" s="18" t="s">
        <v>1</v>
      </c>
      <c r="D2" s="11" t="s">
        <v>2</v>
      </c>
      <c r="E2" s="48" t="s">
        <v>3</v>
      </c>
      <c r="F2" s="35" t="s">
        <v>0</v>
      </c>
      <c r="G2" s="11" t="s">
        <v>1</v>
      </c>
      <c r="H2" s="29" t="s">
        <v>2</v>
      </c>
      <c r="I2" s="10" t="s">
        <v>3</v>
      </c>
      <c r="J2" s="35" t="s">
        <v>0</v>
      </c>
      <c r="K2" s="151" t="s">
        <v>1</v>
      </c>
      <c r="L2" s="11" t="s">
        <v>2</v>
      </c>
      <c r="M2" s="108" t="s">
        <v>3</v>
      </c>
      <c r="N2" s="189" t="s">
        <v>0</v>
      </c>
      <c r="O2" s="288" t="s">
        <v>1</v>
      </c>
    </row>
    <row r="3" spans="1:15" s="61" customFormat="1" ht="4.5" customHeight="1">
      <c r="A3" s="62"/>
      <c r="B3" s="67"/>
      <c r="C3" s="68"/>
      <c r="D3" s="65"/>
      <c r="E3" s="69"/>
      <c r="F3" s="67"/>
      <c r="G3" s="65"/>
      <c r="H3" s="66"/>
      <c r="I3" s="64"/>
      <c r="J3" s="67"/>
      <c r="K3" s="184"/>
      <c r="L3" s="182"/>
      <c r="M3" s="185"/>
      <c r="N3" s="63"/>
      <c r="O3" s="64"/>
    </row>
    <row r="4" spans="1:15" ht="15">
      <c r="A4" s="314" t="s">
        <v>4</v>
      </c>
      <c r="B4" s="315"/>
      <c r="C4" s="315"/>
      <c r="D4" s="315"/>
      <c r="E4" s="315"/>
      <c r="F4" s="315"/>
      <c r="G4" s="315"/>
      <c r="H4" s="315"/>
      <c r="I4" s="315"/>
      <c r="J4" s="315"/>
      <c r="K4" s="315"/>
      <c r="L4" s="315"/>
      <c r="M4" s="315"/>
      <c r="N4" s="315"/>
      <c r="O4" s="191"/>
    </row>
    <row r="5" spans="1:15" ht="4.5" customHeight="1">
      <c r="A5" s="4"/>
      <c r="B5" s="36"/>
      <c r="C5" s="30"/>
      <c r="D5" s="7"/>
      <c r="E5" s="49"/>
      <c r="F5" s="36"/>
      <c r="G5" s="7"/>
      <c r="H5" s="19"/>
      <c r="I5" s="6"/>
      <c r="J5" s="36"/>
      <c r="K5" s="113"/>
      <c r="L5" s="174"/>
      <c r="M5" s="173"/>
      <c r="N5" s="5"/>
      <c r="O5" s="6"/>
    </row>
    <row r="6" spans="1:15" ht="15">
      <c r="A6" s="8" t="s">
        <v>99</v>
      </c>
      <c r="B6" s="37">
        <f aca="true" t="shared" si="0" ref="B6:N6">B15+B24</f>
        <v>384901</v>
      </c>
      <c r="C6" s="31">
        <f t="shared" si="0"/>
        <v>403995</v>
      </c>
      <c r="D6" s="14">
        <f t="shared" si="0"/>
        <v>418341.5</v>
      </c>
      <c r="E6" s="50">
        <f t="shared" si="0"/>
        <v>422083</v>
      </c>
      <c r="F6" s="37">
        <f t="shared" si="0"/>
        <v>434161</v>
      </c>
      <c r="G6" s="14">
        <f t="shared" si="0"/>
        <v>439536</v>
      </c>
      <c r="H6" s="14">
        <f t="shared" si="0"/>
        <v>455840</v>
      </c>
      <c r="I6" s="13">
        <f t="shared" si="0"/>
        <v>455579</v>
      </c>
      <c r="J6" s="37">
        <f t="shared" si="0"/>
        <v>463861</v>
      </c>
      <c r="K6" s="20">
        <f t="shared" si="0"/>
        <v>491504</v>
      </c>
      <c r="L6" s="14">
        <f t="shared" si="0"/>
        <v>525848</v>
      </c>
      <c r="M6" s="50">
        <f t="shared" si="0"/>
        <v>521748</v>
      </c>
      <c r="N6" s="12">
        <f t="shared" si="0"/>
        <v>521259</v>
      </c>
      <c r="O6" s="13">
        <f>O15+O24</f>
        <v>541575</v>
      </c>
    </row>
    <row r="7" spans="1:15" s="61" customFormat="1" ht="15" outlineLevel="1">
      <c r="A7" s="4" t="s">
        <v>154</v>
      </c>
      <c r="B7" s="119">
        <v>0.0013439918634006107</v>
      </c>
      <c r="C7" s="120">
        <v>0.0011521506399875389</v>
      </c>
      <c r="D7" s="132">
        <v>0</v>
      </c>
      <c r="E7" s="136">
        <v>0</v>
      </c>
      <c r="F7" s="134">
        <v>0</v>
      </c>
      <c r="G7" s="132">
        <v>0</v>
      </c>
      <c r="H7" s="133">
        <v>0</v>
      </c>
      <c r="I7" s="131">
        <v>0</v>
      </c>
      <c r="J7" s="134">
        <v>0</v>
      </c>
      <c r="K7" s="133">
        <v>0</v>
      </c>
      <c r="L7" s="132">
        <v>0</v>
      </c>
      <c r="M7" s="136">
        <v>0</v>
      </c>
      <c r="N7" s="130">
        <v>0</v>
      </c>
      <c r="O7" s="131">
        <v>0</v>
      </c>
    </row>
    <row r="8" spans="1:15" s="61" customFormat="1" ht="15" outlineLevel="1">
      <c r="A8" s="4" t="s">
        <v>155</v>
      </c>
      <c r="B8" s="119">
        <f>_xlfn.COMPOUNDVALUE(208)</f>
        <v>0.45222018129337155</v>
      </c>
      <c r="C8" s="120">
        <f>_xlfn.COMPOUNDVALUE(209)</f>
        <v>0.4362331216970507</v>
      </c>
      <c r="D8" s="117">
        <f>_xlfn.COMPOUNDVALUE(210)</f>
        <v>0.43418594617077194</v>
      </c>
      <c r="E8" s="116">
        <f>_xlfn.COMPOUNDVALUE(211)</f>
        <v>0.43160705358898604</v>
      </c>
      <c r="F8" s="119">
        <f>_xlfn.COMPOUNDVALUE(212)</f>
        <v>0.4245268460317716</v>
      </c>
      <c r="G8" s="117">
        <f>_xlfn.COMPOUNDVALUE(213)</f>
        <v>0.4279239925739871</v>
      </c>
      <c r="H8" s="118">
        <f>_xlfn.COMPOUNDVALUE(214)</f>
        <v>0.4237736925236925</v>
      </c>
      <c r="I8" s="121">
        <f>_xlfn.COMPOUNDVALUE(215)</f>
        <v>0.4211695446892855</v>
      </c>
      <c r="J8" s="119">
        <f>_xlfn.COMPOUNDVALUE(216)</f>
        <v>0.4180778293497405</v>
      </c>
      <c r="K8" s="118">
        <f>_xlfn.COMPOUNDVALUE(217)</f>
        <v>0.4121085484553534</v>
      </c>
      <c r="L8" s="117">
        <f>_xlfn.COMPOUNDVALUE(218)</f>
        <v>0.40782697661681705</v>
      </c>
      <c r="M8" s="116">
        <f>_xlfn.COMPOUNDVALUE(219)</f>
        <v>0.3743818855079464</v>
      </c>
      <c r="N8" s="115">
        <f>_xlfn.COMPOUNDVALUE(220)</f>
        <v>0.366752420581707</v>
      </c>
      <c r="O8" s="121">
        <v>0.35542999584545076</v>
      </c>
    </row>
    <row r="9" spans="1:15" s="61" customFormat="1" ht="15" outlineLevel="1">
      <c r="A9" s="4" t="s">
        <v>156</v>
      </c>
      <c r="B9" s="119">
        <f>_xlfn.COMPOUNDVALUE(208)</f>
        <v>0.04128594106016872</v>
      </c>
      <c r="C9" s="120">
        <f>_xlfn.COMPOUNDVALUE(209)</f>
        <v>0.04754019232911298</v>
      </c>
      <c r="D9" s="117">
        <f>_xlfn.COMPOUNDVALUE(210)</f>
        <v>0.04915242690481341</v>
      </c>
      <c r="E9" s="116">
        <f>_xlfn.COMPOUNDVALUE(211)</f>
        <v>0.05615483210648143</v>
      </c>
      <c r="F9" s="119">
        <f>_xlfn.COMPOUNDVALUE(212)</f>
        <v>0.06644770027708614</v>
      </c>
      <c r="G9" s="117">
        <f>_xlfn.COMPOUNDVALUE(213)</f>
        <v>0.06728686614975793</v>
      </c>
      <c r="H9" s="118">
        <f>_xlfn.COMPOUNDVALUE(214)</f>
        <v>0.06844068094068094</v>
      </c>
      <c r="I9" s="121">
        <f>_xlfn.COMPOUNDVALUE(215)</f>
        <v>0.07973589651849625</v>
      </c>
      <c r="J9" s="119">
        <f>_xlfn.COMPOUNDVALUE(216)</f>
        <v>0.08706918667445636</v>
      </c>
      <c r="K9" s="118">
        <f>_xlfn.COMPOUNDVALUE(217)</f>
        <v>0.0946502978612585</v>
      </c>
      <c r="L9" s="117">
        <f>_xlfn.COMPOUNDVALUE(218)</f>
        <v>0.09568734691393711</v>
      </c>
      <c r="M9" s="116">
        <f>_xlfn.COMPOUNDVALUE(219)</f>
        <v>0.10668943627958324</v>
      </c>
      <c r="N9" s="115">
        <f>_xlfn.COMPOUNDVALUE(220)</f>
        <v>0.11340044008832462</v>
      </c>
      <c r="O9" s="121">
        <v>0.11293726630660574</v>
      </c>
    </row>
    <row r="10" spans="1:15" s="61" customFormat="1" ht="15" outlineLevel="1">
      <c r="A10" s="4" t="s">
        <v>157</v>
      </c>
      <c r="B10" s="134">
        <v>0</v>
      </c>
      <c r="C10" s="135">
        <v>0</v>
      </c>
      <c r="D10" s="132">
        <v>0</v>
      </c>
      <c r="E10" s="136">
        <v>0</v>
      </c>
      <c r="F10" s="134">
        <v>0</v>
      </c>
      <c r="G10" s="132">
        <v>0</v>
      </c>
      <c r="H10" s="118">
        <f>_xlfn.COMPOUNDVALUE(214)</f>
        <v>0.0017220954720954717</v>
      </c>
      <c r="I10" s="121">
        <f>_xlfn.COMPOUNDVALUE(215)</f>
        <v>0.0016265016605242996</v>
      </c>
      <c r="J10" s="119">
        <f>_xlfn.COMPOUNDVALUE(216)</f>
        <v>0.0015263193068613227</v>
      </c>
      <c r="K10" s="118">
        <f>_xlfn.COMPOUNDVALUE(217)</f>
        <v>0.0017660080080731794</v>
      </c>
      <c r="L10" s="117">
        <f>_xlfn.COMPOUNDVALUE(218)</f>
        <v>0.0013768237209231566</v>
      </c>
      <c r="M10" s="116">
        <f>_xlfn.COMPOUNDVALUE(219)</f>
        <v>0.0013646434677277153</v>
      </c>
      <c r="N10" s="115">
        <f>_xlfn.COMPOUNDVALUE(220)</f>
        <v>0.0013448209047709487</v>
      </c>
      <c r="O10" s="121">
        <v>0.0012094354429211098</v>
      </c>
    </row>
    <row r="11" spans="1:15" s="61" customFormat="1" ht="15" outlineLevel="1">
      <c r="A11" s="4" t="s">
        <v>158</v>
      </c>
      <c r="B11" s="119">
        <f>_xlfn.COMPOUNDVALUE(208)</f>
        <v>0.020072694017422663</v>
      </c>
      <c r="C11" s="120">
        <f>_xlfn.COMPOUNDVALUE(209)</f>
        <v>0.017430908798376218</v>
      </c>
      <c r="D11" s="117">
        <f>_xlfn.COMPOUNDVALUE(210)</f>
        <v>0.016947876316358763</v>
      </c>
      <c r="E11" s="116">
        <f>_xlfn.COMPOUNDVALUE(211)</f>
        <v>0.016702875974630584</v>
      </c>
      <c r="F11" s="119">
        <f>_xlfn.COMPOUNDVALUE(212)</f>
        <v>0.0173276733746237</v>
      </c>
      <c r="G11" s="117">
        <f>_xlfn.COMPOUNDVALUE(213)</f>
        <v>0.019261220923883368</v>
      </c>
      <c r="H11" s="118">
        <f>_xlfn.COMPOUNDVALUE(214)</f>
        <v>0.019340119340119342</v>
      </c>
      <c r="I11" s="121">
        <f>_xlfn.COMPOUNDVALUE(215)</f>
        <v>0.02021383777566569</v>
      </c>
      <c r="J11" s="119">
        <f>_xlfn.COMPOUNDVALUE(216)</f>
        <v>0.020159056269011624</v>
      </c>
      <c r="K11" s="118">
        <f>_xlfn.COMPOUNDVALUE(217)</f>
        <v>0.019173801230508807</v>
      </c>
      <c r="L11" s="117">
        <f>_xlfn.COMPOUNDVALUE(218)</f>
        <v>0.01774276977377493</v>
      </c>
      <c r="M11" s="116">
        <f>_xlfn.COMPOUNDVALUE(219)</f>
        <v>0.019250672738563443</v>
      </c>
      <c r="N11" s="115">
        <f>_xlfn.COMPOUNDVALUE(220)</f>
        <v>0.01987303816336984</v>
      </c>
      <c r="O11" s="121">
        <v>0.019206942713382264</v>
      </c>
    </row>
    <row r="12" spans="1:15" s="61" customFormat="1" ht="15" outlineLevel="1">
      <c r="A12" s="4" t="s">
        <v>159</v>
      </c>
      <c r="B12" s="119">
        <f>_xlfn.COMPOUNDVALUE(208)</f>
        <v>0.4864211836290371</v>
      </c>
      <c r="C12" s="120">
        <f>_xlfn.COMPOUNDVALUE(209)</f>
        <v>0.4987957771754601</v>
      </c>
      <c r="D12" s="117">
        <f>_xlfn.COMPOUNDVALUE(210)</f>
        <v>0.49971375060805584</v>
      </c>
      <c r="E12" s="116">
        <f>_xlfn.COMPOUNDVALUE(211)</f>
        <v>0.49553523832990193</v>
      </c>
      <c r="F12" s="119">
        <f>_xlfn.COMPOUNDVALUE(212)</f>
        <v>0.4916977803165185</v>
      </c>
      <c r="G12" s="117">
        <f>_xlfn.COMPOUNDVALUE(213)</f>
        <v>0.4855279203523716</v>
      </c>
      <c r="H12" s="118">
        <f>_xlfn.COMPOUNDVALUE(214)</f>
        <v>0.4867234117234117</v>
      </c>
      <c r="I12" s="121">
        <f>_xlfn.COMPOUNDVALUE(215)</f>
        <v>0.4768920428729156</v>
      </c>
      <c r="J12" s="119">
        <f>_xlfn.COMPOUNDVALUE(216)</f>
        <v>0.4726200305695025</v>
      </c>
      <c r="K12" s="118">
        <f>_xlfn.COMPOUNDVALUE(217)</f>
        <v>0.47176421758520787</v>
      </c>
      <c r="L12" s="117">
        <f>_xlfn.COMPOUNDVALUE(218)</f>
        <v>0.4768716435167577</v>
      </c>
      <c r="M12" s="116">
        <f>_xlfn.COMPOUNDVALUE(219)</f>
        <v>0.4977747878286069</v>
      </c>
      <c r="N12" s="115">
        <f>_xlfn.COMPOUNDVALUE(220)</f>
        <v>0.4981458353716674</v>
      </c>
      <c r="O12" s="121">
        <v>0.5107769007062734</v>
      </c>
    </row>
    <row r="13" spans="1:15" s="61" customFormat="1" ht="15" outlineLevel="1">
      <c r="A13" s="4" t="s">
        <v>160</v>
      </c>
      <c r="B13" s="134">
        <v>0</v>
      </c>
      <c r="C13" s="135">
        <v>0</v>
      </c>
      <c r="D13" s="132">
        <v>0</v>
      </c>
      <c r="E13" s="136">
        <v>0</v>
      </c>
      <c r="F13" s="134">
        <v>0</v>
      </c>
      <c r="G13" s="132">
        <v>0</v>
      </c>
      <c r="H13" s="133">
        <v>0</v>
      </c>
      <c r="I13" s="121">
        <f>_xlfn.COMPOUNDVALUE(215)</f>
        <v>0.00036217648311269836</v>
      </c>
      <c r="J13" s="119">
        <f>_xlfn.COMPOUNDVALUE(216)</f>
        <v>0.0005475778304276498</v>
      </c>
      <c r="K13" s="118">
        <f>_xlfn.COMPOUNDVALUE(217)</f>
        <v>0.0005371268595982942</v>
      </c>
      <c r="L13" s="117">
        <f>_xlfn.COMPOUNDVALUE(218)</f>
        <v>0.0004944394577900838</v>
      </c>
      <c r="M13" s="116">
        <f>_xlfn.COMPOUNDVALUE(219)</f>
        <v>0.0005385741775723146</v>
      </c>
      <c r="N13" s="115">
        <f>_xlfn.COMPOUNDVALUE(220)</f>
        <v>0.0004834448901601699</v>
      </c>
      <c r="O13" s="121">
        <v>0.0004394589853667544</v>
      </c>
    </row>
    <row r="14" spans="1:15" s="217" customFormat="1" ht="3" customHeight="1">
      <c r="A14" s="192"/>
      <c r="B14" s="197"/>
      <c r="C14" s="198"/>
      <c r="D14" s="195"/>
      <c r="E14" s="199"/>
      <c r="F14" s="197"/>
      <c r="G14" s="195"/>
      <c r="H14" s="196"/>
      <c r="I14" s="194"/>
      <c r="J14" s="197"/>
      <c r="K14" s="196"/>
      <c r="L14" s="195"/>
      <c r="M14" s="199"/>
      <c r="N14" s="193"/>
      <c r="O14" s="194"/>
    </row>
    <row r="15" spans="1:15" ht="15">
      <c r="A15" s="77" t="s">
        <v>33</v>
      </c>
      <c r="B15" s="82">
        <f>_xlfn.COMPOUNDVALUE(208)</f>
        <v>316438</v>
      </c>
      <c r="C15" s="83">
        <f>_xlfn.COMPOUNDVALUE(209)</f>
        <v>332415</v>
      </c>
      <c r="D15" s="79">
        <f>_xlfn.COMPOUNDVALUE(210)</f>
        <v>343842.5</v>
      </c>
      <c r="E15" s="84">
        <f>_xlfn.COMPOUNDVALUE(211)</f>
        <v>343694</v>
      </c>
      <c r="F15" s="82">
        <f>_xlfn.COMPOUNDVALUE(212)</f>
        <v>351769</v>
      </c>
      <c r="G15" s="79">
        <f>_xlfn.COMPOUNDVALUE(213)</f>
        <v>356930</v>
      </c>
      <c r="H15" s="81">
        <f>_xlfn.COMPOUNDVALUE(214)</f>
        <v>371032</v>
      </c>
      <c r="I15" s="80">
        <f>_xlfn.COMPOUNDVALUE(215)</f>
        <v>366334</v>
      </c>
      <c r="J15" s="82">
        <f>_xlfn.COMPOUNDVALUE(216)</f>
        <v>370737</v>
      </c>
      <c r="K15" s="81">
        <f>_xlfn.COMPOUNDVALUE(217)</f>
        <v>391856</v>
      </c>
      <c r="L15" s="79">
        <f>_xlfn.COMPOUNDVALUE(218)</f>
        <v>421437</v>
      </c>
      <c r="M15" s="84">
        <f>_xlfn.COMPOUNDVALUE(219)</f>
        <v>418158</v>
      </c>
      <c r="N15" s="78">
        <f>_xlfn.COMPOUNDVALUE(220)</f>
        <v>415626</v>
      </c>
      <c r="O15" s="80">
        <v>433603</v>
      </c>
    </row>
    <row r="16" spans="1:15" ht="15" outlineLevel="1">
      <c r="A16" s="4" t="s">
        <v>112</v>
      </c>
      <c r="B16" s="119">
        <v>0.0016342962430116483</v>
      </c>
      <c r="C16" s="120">
        <v>0.001399899663843836</v>
      </c>
      <c r="D16" s="132">
        <v>0</v>
      </c>
      <c r="E16" s="136">
        <v>0</v>
      </c>
      <c r="F16" s="134">
        <v>0</v>
      </c>
      <c r="G16" s="132">
        <v>0</v>
      </c>
      <c r="H16" s="133">
        <v>0</v>
      </c>
      <c r="I16" s="131">
        <v>0</v>
      </c>
      <c r="J16" s="134">
        <v>0</v>
      </c>
      <c r="K16" s="160">
        <v>0</v>
      </c>
      <c r="L16" s="175">
        <v>0</v>
      </c>
      <c r="M16" s="161">
        <v>0</v>
      </c>
      <c r="N16" s="130">
        <v>0</v>
      </c>
      <c r="O16" s="131"/>
    </row>
    <row r="17" spans="1:15" ht="15" outlineLevel="1">
      <c r="A17" s="4" t="s">
        <v>113</v>
      </c>
      <c r="B17" s="119">
        <f>_xlfn.COMPOUNDVALUE(221)</f>
        <v>0.47668421618136886</v>
      </c>
      <c r="C17" s="120">
        <f>_xlfn.COMPOUNDVALUE(222)</f>
        <v>0.45762977001639515</v>
      </c>
      <c r="D17" s="117">
        <f>_xlfn.COMPOUNDVALUE(223)</f>
        <v>0.4546093051324371</v>
      </c>
      <c r="E17" s="116">
        <f>_xlfn.COMPOUNDVALUE(224)</f>
        <v>0.45013296711609746</v>
      </c>
      <c r="F17" s="119">
        <f>_xlfn.COMPOUNDVALUE(225)</f>
        <v>0.44037138008181503</v>
      </c>
      <c r="G17" s="117">
        <f>_xlfn.COMPOUNDVALUE(226)</f>
        <v>0.439943406270137</v>
      </c>
      <c r="H17" s="118">
        <f>_xlfn.COMPOUNDVALUE(227)</f>
        <v>0.4350083011707885</v>
      </c>
      <c r="I17" s="121">
        <f>_xlfn.COMPOUNDVALUE(228)</f>
        <v>0.4353622650368243</v>
      </c>
      <c r="J17" s="119">
        <f>_xlfn.COMPOUNDVALUE(229)</f>
        <v>0.4351979975022725</v>
      </c>
      <c r="K17" s="154">
        <f>_xlfn.COMPOUNDVALUE(230)</f>
        <v>0.4241940917071577</v>
      </c>
      <c r="L17" s="176">
        <f>_xlfn.COMPOUNDVALUE(231)</f>
        <v>0.4143442554877716</v>
      </c>
      <c r="M17" s="177">
        <f>_xlfn.COMPOUNDVALUE(232)</f>
        <v>0.38020317678963456</v>
      </c>
      <c r="N17" s="115">
        <f>_xlfn.COMPOUNDVALUE(233)</f>
        <v>0.3727654189102703</v>
      </c>
      <c r="O17" s="121">
        <v>0.3587129240341972</v>
      </c>
    </row>
    <row r="18" spans="1:15" ht="15" outlineLevel="1">
      <c r="A18" s="4" t="s">
        <v>114</v>
      </c>
      <c r="B18" s="119">
        <f>_xlfn.COMPOUNDVALUE(234)</f>
        <v>0.0017191361340926185</v>
      </c>
      <c r="C18" s="120">
        <f>_xlfn.COMPOUNDVALUE(235)</f>
        <v>0.006353503903253463</v>
      </c>
      <c r="D18" s="117">
        <f>_xlfn.COMPOUNDVALUE(236)</f>
        <v>0.0086245882926049</v>
      </c>
      <c r="E18" s="116">
        <f>_xlfn.COMPOUNDVALUE(237)</f>
        <v>0.017774531996485245</v>
      </c>
      <c r="F18" s="119">
        <f>_xlfn.COMPOUNDVALUE(238)</f>
        <v>0.03088390392558753</v>
      </c>
      <c r="G18" s="117">
        <f>_xlfn.COMPOUNDVALUE(239)</f>
        <v>0.039450312386182164</v>
      </c>
      <c r="H18" s="118">
        <f>_xlfn.COMPOUNDVALUE(240)</f>
        <v>0.040929084283835356</v>
      </c>
      <c r="I18" s="121">
        <f>_xlfn.COMPOUNDVALUE(241)</f>
        <v>0.05418825443447783</v>
      </c>
      <c r="J18" s="119">
        <f>_xlfn.COMPOUNDVALUE(242)</f>
        <v>0.059503097883405215</v>
      </c>
      <c r="K18" s="154">
        <f>_xlfn.COMPOUNDVALUE(243)</f>
        <v>0.06976287207545628</v>
      </c>
      <c r="L18" s="176">
        <f>_xlfn.COMPOUNDVALUE(244)</f>
        <v>0.07359818905316809</v>
      </c>
      <c r="M18" s="177">
        <f>_xlfn.COMPOUNDVALUE(245)</f>
        <v>0.0852668130228287</v>
      </c>
      <c r="N18" s="115">
        <f>_xlfn.COMPOUNDVALUE(246)</f>
        <v>0.09216699628993374</v>
      </c>
      <c r="O18" s="121">
        <v>0.09309668060414711</v>
      </c>
    </row>
    <row r="19" spans="1:15" ht="15" outlineLevel="1">
      <c r="A19" s="4" t="s">
        <v>115</v>
      </c>
      <c r="B19" s="134" t="s">
        <v>195</v>
      </c>
      <c r="C19" s="135" t="s">
        <v>195</v>
      </c>
      <c r="D19" s="132" t="s">
        <v>195</v>
      </c>
      <c r="E19" s="136" t="s">
        <v>195</v>
      </c>
      <c r="F19" s="134" t="s">
        <v>195</v>
      </c>
      <c r="G19" s="132" t="s">
        <v>195</v>
      </c>
      <c r="H19" s="118">
        <f>_xlfn.COMPOUNDVALUE(247)</f>
        <v>0.002115720476939994</v>
      </c>
      <c r="I19" s="121">
        <f>_xlfn.COMPOUNDVALUE(248)</f>
        <v>0.0020227442716209795</v>
      </c>
      <c r="J19" s="119">
        <f>_xlfn.COMPOUNDVALUE(249)</f>
        <v>0.0019097095784882546</v>
      </c>
      <c r="K19" s="154">
        <f>_xlfn.COMPOUNDVALUE(250)</f>
        <v>0.0022150994242783064</v>
      </c>
      <c r="L19" s="176">
        <f>_xlfn.COMPOUNDVALUE(251)</f>
        <v>0.001717931743060054</v>
      </c>
      <c r="M19" s="177">
        <f>_xlfn.COMPOUNDVALUE(252)</f>
        <v>0.0017027056758450155</v>
      </c>
      <c r="N19" s="115">
        <f>_xlfn.COMPOUNDVALUE(253)</f>
        <v>0.001686612483338386</v>
      </c>
      <c r="O19" s="121">
        <v>0.001510598404531334</v>
      </c>
    </row>
    <row r="20" spans="1:15" ht="15" outlineLevel="1">
      <c r="A20" s="4" t="s">
        <v>116</v>
      </c>
      <c r="B20" s="119">
        <f>_xlfn.COMPOUNDVALUE(254)</f>
        <v>0.02441552531617568</v>
      </c>
      <c r="C20" s="120">
        <f>_xlfn.COMPOUNDVALUE(255)</f>
        <v>0.02118436291984417</v>
      </c>
      <c r="D20" s="117">
        <f>_xlfn.COMPOUNDVALUE(256)</f>
        <v>0.02061990591622618</v>
      </c>
      <c r="E20" s="116">
        <f>_xlfn.COMPOUNDVALUE(257)</f>
        <v>0.020512432570833357</v>
      </c>
      <c r="F20" s="119">
        <f>_xlfn.COMPOUNDVALUE(258)</f>
        <v>0.021386193780577593</v>
      </c>
      <c r="G20" s="117">
        <f>_xlfn.COMPOUNDVALUE(259)</f>
        <v>0.02371893648614574</v>
      </c>
      <c r="H20" s="118">
        <f>_xlfn.COMPOUNDVALUE(260)</f>
        <v>0.02376075378943056</v>
      </c>
      <c r="I20" s="121">
        <f>_xlfn.COMPOUNDVALUE(261)</f>
        <v>0.025138261804801082</v>
      </c>
      <c r="J20" s="119">
        <f>_xlfn.COMPOUNDVALUE(262)</f>
        <v>0.025222732017575803</v>
      </c>
      <c r="K20" s="154">
        <f>_xlfn.COMPOUNDVALUE(263)</f>
        <v>0.02404965089216447</v>
      </c>
      <c r="L20" s="176">
        <f>_xlfn.COMPOUNDVALUE(264)</f>
        <v>0.022138540280041856</v>
      </c>
      <c r="M20" s="177">
        <f>_xlfn.COMPOUNDVALUE(265)</f>
        <v>0.024019628944083337</v>
      </c>
      <c r="N20" s="115">
        <f>_xlfn.COMPOUNDVALUE(266)</f>
        <v>0.02492384980727866</v>
      </c>
      <c r="O20" s="121">
        <v>0.023989686418221277</v>
      </c>
    </row>
    <row r="21" spans="1:15" ht="15" outlineLevel="1">
      <c r="A21" s="4" t="s">
        <v>117</v>
      </c>
      <c r="B21" s="119">
        <f>_xlfn.COMPOUNDVALUE(267)</f>
        <v>0.4971811223683628</v>
      </c>
      <c r="C21" s="120">
        <f>_xlfn.COMPOUNDVALUE(268)</f>
        <v>0.5148323631605072</v>
      </c>
      <c r="D21" s="117">
        <f>_xlfn.COMPOUNDVALUE(269)</f>
        <v>0.5161462006587318</v>
      </c>
      <c r="E21" s="116">
        <f>_xlfn.COMPOUNDVALUE(270)</f>
        <v>0.511580068316584</v>
      </c>
      <c r="F21" s="119">
        <f>_xlfn.COMPOUNDVALUE(271)</f>
        <v>0.5073585222120198</v>
      </c>
      <c r="G21" s="117">
        <f>_xlfn.COMPOUNDVALUE(272)</f>
        <v>0.4968873448575351</v>
      </c>
      <c r="H21" s="118">
        <f>_xlfn.COMPOUNDVALUE(273)</f>
        <v>0.4981861402790056</v>
      </c>
      <c r="I21" s="121">
        <f>_xlfn.COMPOUNDVALUE(274)</f>
        <v>0.48283806580879746</v>
      </c>
      <c r="J21" s="119">
        <f>_xlfn.COMPOUNDVALUE(275)</f>
        <v>0.477481341220326</v>
      </c>
      <c r="K21" s="154">
        <f>_xlfn.COMPOUNDVALUE(276)</f>
        <v>0.47910456902535625</v>
      </c>
      <c r="L21" s="176">
        <f>_xlfn.COMPOUNDVALUE(277)</f>
        <v>0.4875841466221523</v>
      </c>
      <c r="M21" s="177">
        <f>_xlfn.COMPOUNDVALUE(278)</f>
        <v>0.508135680771383</v>
      </c>
      <c r="N21" s="115">
        <f>_xlfn.COMPOUNDVALUE(279)</f>
        <v>0.5078508081785066</v>
      </c>
      <c r="O21" s="121">
        <v>0.5221412213476383</v>
      </c>
    </row>
    <row r="22" spans="1:15" ht="15" outlineLevel="1">
      <c r="A22" s="4" t="s">
        <v>128</v>
      </c>
      <c r="B22" s="134" t="s">
        <v>195</v>
      </c>
      <c r="C22" s="135" t="s">
        <v>195</v>
      </c>
      <c r="D22" s="132" t="s">
        <v>195</v>
      </c>
      <c r="E22" s="136" t="s">
        <v>195</v>
      </c>
      <c r="F22" s="134" t="s">
        <v>195</v>
      </c>
      <c r="G22" s="132" t="s">
        <v>195</v>
      </c>
      <c r="H22" s="133" t="s">
        <v>195</v>
      </c>
      <c r="I22" s="131">
        <v>0</v>
      </c>
      <c r="J22" s="119">
        <f>_xlfn.COMPOUNDVALUE(280)</f>
        <v>0.0006851217979322269</v>
      </c>
      <c r="K22" s="154">
        <f>_xlfn.COMPOUNDVALUE(281)</f>
        <v>0.0006737168755869503</v>
      </c>
      <c r="L22" s="176">
        <f>_xlfn.COMPOUNDVALUE(282)</f>
        <v>0.0006169368138060967</v>
      </c>
      <c r="M22" s="177">
        <f>_xlfn.COMPOUNDVALUE(283)</f>
        <v>0.0006719947962253503</v>
      </c>
      <c r="N22" s="115">
        <f>_xlfn.COMPOUNDVALUE(284)</f>
        <v>0.0006063143306722871</v>
      </c>
      <c r="O22" s="121">
        <v>0.0005488891912648206</v>
      </c>
    </row>
    <row r="23" spans="1:15" ht="3.75" customHeight="1">
      <c r="A23" s="4"/>
      <c r="B23" s="38"/>
      <c r="C23" s="32"/>
      <c r="D23" s="24"/>
      <c r="E23" s="27"/>
      <c r="F23" s="38"/>
      <c r="G23" s="24"/>
      <c r="H23" s="25"/>
      <c r="I23" s="23"/>
      <c r="J23" s="38"/>
      <c r="K23" s="113"/>
      <c r="L23" s="174"/>
      <c r="M23" s="159"/>
      <c r="N23" s="22"/>
      <c r="O23" s="23"/>
    </row>
    <row r="24" spans="1:15" ht="15">
      <c r="A24" s="77" t="s">
        <v>32</v>
      </c>
      <c r="B24" s="82">
        <f>_xlfn.COMPOUNDVALUE(327)</f>
        <v>68463</v>
      </c>
      <c r="C24" s="83">
        <f>_xlfn.COMPOUNDVALUE(328)</f>
        <v>71580</v>
      </c>
      <c r="D24" s="79">
        <f>_xlfn.COMPOUNDVALUE(329)</f>
        <v>74499</v>
      </c>
      <c r="E24" s="84">
        <f>_xlfn.COMPOUNDVALUE(330)</f>
        <v>78389</v>
      </c>
      <c r="F24" s="82">
        <f>_xlfn.COMPOUNDVALUE(331)</f>
        <v>82392</v>
      </c>
      <c r="G24" s="79">
        <f>_xlfn.COMPOUNDVALUE(332)</f>
        <v>82606</v>
      </c>
      <c r="H24" s="81">
        <f>_xlfn.COMPOUNDVALUE(333)</f>
        <v>84808</v>
      </c>
      <c r="I24" s="80">
        <f>_xlfn.COMPOUNDVALUE(334)</f>
        <v>89245</v>
      </c>
      <c r="J24" s="82">
        <f>_xlfn.COMPOUNDVALUE(335)</f>
        <v>93124</v>
      </c>
      <c r="K24" s="81">
        <f>_xlfn.COMPOUNDVALUE(336)</f>
        <v>99648</v>
      </c>
      <c r="L24" s="79">
        <f>_xlfn.COMPOUNDVALUE(337)</f>
        <v>104411</v>
      </c>
      <c r="M24" s="84">
        <f>_xlfn.COMPOUNDVALUE(338)</f>
        <v>103590</v>
      </c>
      <c r="N24" s="78">
        <f>_xlfn.COMPOUNDVALUE(339)</f>
        <v>105633</v>
      </c>
      <c r="O24" s="80">
        <f>_xlfn.COMPOUNDVALUE(340)</f>
        <v>107972</v>
      </c>
    </row>
    <row r="25" spans="1:15" s="61" customFormat="1" ht="15" outlineLevel="1">
      <c r="A25" s="4" t="s">
        <v>106</v>
      </c>
      <c r="B25" s="134">
        <v>0</v>
      </c>
      <c r="C25" s="135">
        <v>0</v>
      </c>
      <c r="D25" s="132">
        <v>0</v>
      </c>
      <c r="E25" s="136">
        <v>0</v>
      </c>
      <c r="F25" s="134">
        <v>0</v>
      </c>
      <c r="G25" s="132">
        <v>0</v>
      </c>
      <c r="H25" s="133">
        <v>0</v>
      </c>
      <c r="I25" s="131">
        <v>0</v>
      </c>
      <c r="J25" s="134">
        <v>0</v>
      </c>
      <c r="K25" s="186">
        <v>0</v>
      </c>
      <c r="L25" s="178">
        <v>0</v>
      </c>
      <c r="M25" s="179">
        <v>0</v>
      </c>
      <c r="N25" s="130">
        <v>0</v>
      </c>
      <c r="O25" s="131">
        <v>0</v>
      </c>
    </row>
    <row r="26" spans="1:15" s="61" customFormat="1" ht="15" outlineLevel="1">
      <c r="A26" s="4" t="s">
        <v>107</v>
      </c>
      <c r="B26" s="119">
        <f>_xlfn.COMPOUNDVALUE(285)</f>
        <v>0.33914669237398304</v>
      </c>
      <c r="C26" s="120">
        <f>_xlfn.COMPOUNDVALUE(286)</f>
        <v>0.3368678401788209</v>
      </c>
      <c r="D26" s="117">
        <f>_xlfn.COMPOUNDVALUE(287)</f>
        <v>0.33992402582585</v>
      </c>
      <c r="E26" s="116">
        <f>_xlfn.COMPOUNDVALUE(288)</f>
        <v>0.35038079322353904</v>
      </c>
      <c r="F26" s="119">
        <f>_xlfn.COMPOUNDVALUE(289)</f>
        <v>0.35687930867074474</v>
      </c>
      <c r="G26" s="117">
        <f>_xlfn.COMPOUNDVALUE(290)</f>
        <v>0.3759896375565939</v>
      </c>
      <c r="H26" s="118">
        <f>_xlfn.COMPOUNDVALUE(291)</f>
        <v>0.3746226771059334</v>
      </c>
      <c r="I26" s="121">
        <f>_xlfn.COMPOUNDVALUE(292)</f>
        <v>0.36291108745587985</v>
      </c>
      <c r="J26" s="119">
        <f>_xlfn.COMPOUNDVALUE(293)</f>
        <v>0.3499205360594476</v>
      </c>
      <c r="K26" s="187">
        <f>_xlfn.COMPOUNDVALUE(294)</f>
        <v>0.3645833333333333</v>
      </c>
      <c r="L26" s="180">
        <f>_xlfn.COMPOUNDVALUE(295)</f>
        <v>0.3815211040982272</v>
      </c>
      <c r="M26" s="181">
        <f>_xlfn.COMPOUNDVALUE(296)</f>
        <v>0.3508832898928468</v>
      </c>
      <c r="N26" s="115">
        <f>_xlfn.COMPOUNDVALUE(297)</f>
        <v>0.34309354084424376</v>
      </c>
      <c r="O26" s="121">
        <f>_xlfn.COMPOUNDVALUE(298)</f>
        <v>0.3422461378876005</v>
      </c>
    </row>
    <row r="27" spans="1:15" s="61" customFormat="1" ht="15" outlineLevel="1">
      <c r="A27" s="4" t="s">
        <v>108</v>
      </c>
      <c r="B27" s="119">
        <f>_xlfn.COMPOUNDVALUE(299)</f>
        <v>0.22416487737902224</v>
      </c>
      <c r="C27" s="120">
        <f>_xlfn.COMPOUNDVALUE(300)</f>
        <v>0.23880972338642079</v>
      </c>
      <c r="D27" s="117">
        <f>_xlfn.COMPOUNDVALUE(301)</f>
        <v>0.23620451281225252</v>
      </c>
      <c r="E27" s="116">
        <f>_xlfn.COMPOUNDVALUE(302)</f>
        <v>0.2244319993876692</v>
      </c>
      <c r="F27" s="119">
        <f>_xlfn.COMPOUNDVALUE(303)</f>
        <v>0.21828575589863095</v>
      </c>
      <c r="G27" s="117">
        <f>_xlfn.COMPOUNDVALUE(304)</f>
        <v>0.1875650679127424</v>
      </c>
      <c r="H27" s="118">
        <f>_xlfn.COMPOUNDVALUE(305)</f>
        <v>0.1888029431185737</v>
      </c>
      <c r="I27" s="121">
        <f>_xlfn.COMPOUNDVALUE(306)</f>
        <v>0.18460417950585467</v>
      </c>
      <c r="J27" s="119">
        <f>_xlfn.COMPOUNDVALUE(307)</f>
        <v>0.1968128516816288</v>
      </c>
      <c r="K27" s="187">
        <f>_xlfn.COMPOUNDVALUE(308)</f>
        <v>0.19251766217084137</v>
      </c>
      <c r="L27" s="180">
        <f>_xlfn.COMPOUNDVALUE(309)</f>
        <v>0.18484642422733236</v>
      </c>
      <c r="M27" s="181">
        <f>_xlfn.COMPOUNDVALUE(310)</f>
        <v>0.19316536345207067</v>
      </c>
      <c r="N27" s="115">
        <f>_xlfn.COMPOUNDVALUE(311)</f>
        <v>0.19694603012316228</v>
      </c>
      <c r="O27" s="121">
        <f>_xlfn.COMPOUNDVALUE(312)</f>
        <v>0.19261475197273367</v>
      </c>
    </row>
    <row r="28" spans="1:15" s="61" customFormat="1" ht="15" outlineLevel="1">
      <c r="A28" s="4" t="s">
        <v>109</v>
      </c>
      <c r="B28" s="134">
        <v>0</v>
      </c>
      <c r="C28" s="135">
        <v>0</v>
      </c>
      <c r="D28" s="132">
        <v>0</v>
      </c>
      <c r="E28" s="136">
        <v>0</v>
      </c>
      <c r="F28" s="134">
        <v>0</v>
      </c>
      <c r="G28" s="132">
        <v>0</v>
      </c>
      <c r="H28" s="133">
        <v>0</v>
      </c>
      <c r="I28" s="131">
        <v>0</v>
      </c>
      <c r="J28" s="134">
        <v>0</v>
      </c>
      <c r="K28" s="186">
        <v>0</v>
      </c>
      <c r="L28" s="178">
        <v>0</v>
      </c>
      <c r="M28" s="179">
        <v>0</v>
      </c>
      <c r="N28" s="130">
        <v>0</v>
      </c>
      <c r="O28" s="131">
        <v>0</v>
      </c>
    </row>
    <row r="29" spans="1:15" s="61" customFormat="1" ht="15" outlineLevel="1">
      <c r="A29" s="4" t="s">
        <v>110</v>
      </c>
      <c r="B29" s="134">
        <v>0</v>
      </c>
      <c r="C29" s="135">
        <v>0</v>
      </c>
      <c r="D29" s="132">
        <v>0</v>
      </c>
      <c r="E29" s="136">
        <v>0</v>
      </c>
      <c r="F29" s="134">
        <v>0</v>
      </c>
      <c r="G29" s="132">
        <v>0</v>
      </c>
      <c r="H29" s="133">
        <v>0</v>
      </c>
      <c r="I29" s="131">
        <v>0</v>
      </c>
      <c r="J29" s="134">
        <v>0</v>
      </c>
      <c r="K29" s="186">
        <v>0</v>
      </c>
      <c r="L29" s="178">
        <v>0</v>
      </c>
      <c r="M29" s="179">
        <v>0</v>
      </c>
      <c r="N29" s="130">
        <v>0</v>
      </c>
      <c r="O29" s="131">
        <v>0</v>
      </c>
    </row>
    <row r="30" spans="1:15" s="61" customFormat="1" ht="15" outlineLevel="1">
      <c r="A30" s="4" t="s">
        <v>111</v>
      </c>
      <c r="B30" s="119">
        <f>_xlfn.COMPOUNDVALUE(313)</f>
        <v>0.4366884302469947</v>
      </c>
      <c r="C30" s="120">
        <f>_xlfn.COMPOUNDVALUE(314)</f>
        <v>0.4243224364347583</v>
      </c>
      <c r="D30" s="117">
        <f>_xlfn.COMPOUNDVALUE(315)</f>
        <v>0.42387146136189746</v>
      </c>
      <c r="E30" s="116">
        <f>_xlfn.COMPOUNDVALUE(316)</f>
        <v>0.4251872073887918</v>
      </c>
      <c r="F30" s="119">
        <f>_xlfn.COMPOUNDVALUE(317)</f>
        <v>0.42483493543062434</v>
      </c>
      <c r="G30" s="117">
        <f>_xlfn.COMPOUNDVALUE(318)</f>
        <v>0.4364452945306636</v>
      </c>
      <c r="H30" s="118">
        <f>_xlfn.COMPOUNDVALUE(319)</f>
        <v>0.4365743797754929</v>
      </c>
      <c r="I30" s="121">
        <f>_xlfn.COMPOUNDVALUE(320)</f>
        <v>0.4524847330382655</v>
      </c>
      <c r="J30" s="119">
        <f>_xlfn.COMPOUNDVALUE(321)</f>
        <v>0.45326661225892356</v>
      </c>
      <c r="K30" s="187">
        <f>_xlfn.COMPOUNDVALUE(322)</f>
        <v>0.4428990044958253</v>
      </c>
      <c r="L30" s="180">
        <f>_xlfn.COMPOUNDVALUE(323)</f>
        <v>0.4336324716744404</v>
      </c>
      <c r="M30" s="181">
        <f>_xlfn.COMPOUNDVALUE(324)</f>
        <v>0.4559513466550825</v>
      </c>
      <c r="N30" s="115">
        <f>_xlfn.COMPOUNDVALUE(325)</f>
        <v>0.459960429032594</v>
      </c>
      <c r="O30" s="121">
        <f>_xlfn.COMPOUNDVALUE(326)</f>
        <v>0.46513911013966586</v>
      </c>
    </row>
    <row r="31" spans="1:15" s="61" customFormat="1" ht="15" outlineLevel="1">
      <c r="A31" s="4" t="s">
        <v>129</v>
      </c>
      <c r="B31" s="134">
        <v>0</v>
      </c>
      <c r="C31" s="135">
        <v>0</v>
      </c>
      <c r="D31" s="132">
        <v>0</v>
      </c>
      <c r="E31" s="136">
        <v>0</v>
      </c>
      <c r="F31" s="134">
        <v>0</v>
      </c>
      <c r="G31" s="132">
        <v>0</v>
      </c>
      <c r="H31" s="133">
        <v>0</v>
      </c>
      <c r="I31" s="131">
        <v>0</v>
      </c>
      <c r="J31" s="134">
        <v>0</v>
      </c>
      <c r="K31" s="186">
        <v>0</v>
      </c>
      <c r="L31" s="178">
        <v>0</v>
      </c>
      <c r="M31" s="179">
        <v>0</v>
      </c>
      <c r="N31" s="130">
        <v>0</v>
      </c>
      <c r="O31" s="131">
        <v>0</v>
      </c>
    </row>
    <row r="32" spans="1:15" ht="3.75" customHeight="1">
      <c r="A32" s="4"/>
      <c r="B32" s="38"/>
      <c r="C32" s="32"/>
      <c r="D32" s="24"/>
      <c r="E32" s="27"/>
      <c r="F32" s="38"/>
      <c r="G32" s="24"/>
      <c r="H32" s="25"/>
      <c r="I32" s="23"/>
      <c r="J32" s="38"/>
      <c r="K32" s="113"/>
      <c r="L32" s="174"/>
      <c r="M32" s="159"/>
      <c r="N32" s="22"/>
      <c r="O32" s="23"/>
    </row>
    <row r="33" spans="1:15" ht="15">
      <c r="A33" s="8" t="s">
        <v>104</v>
      </c>
      <c r="B33" s="37">
        <v>15369</v>
      </c>
      <c r="C33" s="31">
        <v>24329</v>
      </c>
      <c r="D33" s="14">
        <v>33223</v>
      </c>
      <c r="E33" s="50">
        <v>38047</v>
      </c>
      <c r="F33" s="37">
        <v>45959</v>
      </c>
      <c r="G33" s="14">
        <v>51374</v>
      </c>
      <c r="H33" s="20">
        <v>58695</v>
      </c>
      <c r="I33" s="13">
        <v>67325</v>
      </c>
      <c r="J33" s="37">
        <f>_xlfn.COMPOUNDVALUE(341)</f>
        <v>40526</v>
      </c>
      <c r="K33" s="20">
        <f>_xlfn.COMPOUNDVALUE(342)</f>
        <v>43801</v>
      </c>
      <c r="L33" s="14">
        <f>_xlfn.COMPOUNDVALUE(343)</f>
        <v>46704</v>
      </c>
      <c r="M33" s="50">
        <f>_xlfn.COMPOUNDVALUE(344)</f>
        <v>48955</v>
      </c>
      <c r="N33" s="12">
        <f>_xlfn.COMPOUNDVALUE(345)</f>
        <v>50610</v>
      </c>
      <c r="O33" s="13">
        <f>_xlfn.COMPOUNDVALUE(346)</f>
        <v>49017</v>
      </c>
    </row>
    <row r="34" spans="1:15" ht="15">
      <c r="A34" s="122" t="s">
        <v>138</v>
      </c>
      <c r="B34" s="143">
        <f aca="true" t="shared" si="1" ref="B34:O34">B33/B6</f>
        <v>0.039929748169009696</v>
      </c>
      <c r="C34" s="144">
        <f t="shared" si="1"/>
        <v>0.060221042339632914</v>
      </c>
      <c r="D34" s="141">
        <f t="shared" si="1"/>
        <v>0.0794159795286865</v>
      </c>
      <c r="E34" s="142">
        <f t="shared" si="1"/>
        <v>0.09014103861088933</v>
      </c>
      <c r="F34" s="143">
        <f t="shared" si="1"/>
        <v>0.10585704381554308</v>
      </c>
      <c r="G34" s="141">
        <f t="shared" si="1"/>
        <v>0.11688234865858542</v>
      </c>
      <c r="H34" s="145">
        <f t="shared" si="1"/>
        <v>0.128762285012285</v>
      </c>
      <c r="I34" s="139">
        <f t="shared" si="1"/>
        <v>0.14777898015492374</v>
      </c>
      <c r="J34" s="143">
        <f t="shared" si="1"/>
        <v>0.08736668959020051</v>
      </c>
      <c r="K34" s="145">
        <f t="shared" si="1"/>
        <v>0.08911626355024578</v>
      </c>
      <c r="L34" s="141">
        <f t="shared" si="1"/>
        <v>0.08881654014087721</v>
      </c>
      <c r="M34" s="142">
        <f t="shared" si="1"/>
        <v>0.09382882157669986</v>
      </c>
      <c r="N34" s="140">
        <f t="shared" si="1"/>
        <v>0.09709184877383412</v>
      </c>
      <c r="O34" s="139">
        <f t="shared" si="1"/>
        <v>0.09050823985597563</v>
      </c>
    </row>
    <row r="35" spans="1:15" ht="4.5" customHeight="1">
      <c r="A35" s="4"/>
      <c r="B35" s="38"/>
      <c r="C35" s="32"/>
      <c r="D35" s="24"/>
      <c r="E35" s="27"/>
      <c r="F35" s="38"/>
      <c r="G35" s="24"/>
      <c r="H35" s="25"/>
      <c r="I35" s="23"/>
      <c r="J35" s="38"/>
      <c r="K35" s="25"/>
      <c r="L35" s="24"/>
      <c r="M35" s="27"/>
      <c r="N35" s="22"/>
      <c r="O35" s="23"/>
    </row>
    <row r="36" spans="1:15" ht="15">
      <c r="A36" s="8" t="s">
        <v>11</v>
      </c>
      <c r="B36" s="37">
        <f>_xlfn.COMPOUNDVALUE(347)</f>
        <v>58237541</v>
      </c>
      <c r="C36" s="31">
        <f>_xlfn.COMPOUNDVALUE(348)</f>
        <v>63696523</v>
      </c>
      <c r="D36" s="14">
        <f>_xlfn.COMPOUNDVALUE(349)</f>
        <v>63084746</v>
      </c>
      <c r="E36" s="50">
        <f>_xlfn.COMPOUNDVALUE(350)</f>
        <v>64404417</v>
      </c>
      <c r="F36" s="37">
        <f>_xlfn.COMPOUNDVALUE(351)</f>
        <v>63291769</v>
      </c>
      <c r="G36" s="14">
        <f>_xlfn.COMPOUNDVALUE(352)</f>
        <v>69027995</v>
      </c>
      <c r="H36" s="20">
        <f>_xlfn.COMPOUNDVALUE(353)</f>
        <v>73332110</v>
      </c>
      <c r="I36" s="13">
        <f>_xlfn.COMPOUNDVALUE(354)</f>
        <v>73826133</v>
      </c>
      <c r="J36" s="37">
        <f>_xlfn.COMPOUNDVALUE(355)</f>
        <v>72184195</v>
      </c>
      <c r="K36" s="20">
        <f>_xlfn.COMPOUNDVALUE(356)</f>
        <v>84951776.13</v>
      </c>
      <c r="L36" s="14">
        <f>_xlfn.COMPOUNDVALUE(357)</f>
        <v>85163064</v>
      </c>
      <c r="M36" s="50">
        <f>_xlfn.COMPOUNDVALUE(358)</f>
        <v>85808905</v>
      </c>
      <c r="N36" s="12">
        <f>_xlfn.COMPOUNDVALUE(359)</f>
        <v>83694457</v>
      </c>
      <c r="O36" s="13">
        <v>87762916.267382</v>
      </c>
    </row>
    <row r="37" spans="1:15" ht="3.75" customHeight="1">
      <c r="A37" s="4"/>
      <c r="B37" s="38"/>
      <c r="C37" s="32"/>
      <c r="D37" s="24"/>
      <c r="E37" s="27"/>
      <c r="F37" s="38"/>
      <c r="G37" s="24"/>
      <c r="H37" s="25"/>
      <c r="I37" s="23"/>
      <c r="J37" s="38"/>
      <c r="K37" s="25"/>
      <c r="L37" s="24"/>
      <c r="M37" s="27"/>
      <c r="N37" s="22"/>
      <c r="O37" s="23"/>
    </row>
    <row r="38" spans="1:15" ht="15">
      <c r="A38" s="8" t="s">
        <v>36</v>
      </c>
      <c r="B38" s="37">
        <f>_xlfn.COMPOUNDVALUE(360)</f>
        <v>69640999.59</v>
      </c>
      <c r="C38" s="31">
        <f>_xlfn.COMPOUNDVALUE(361)</f>
        <v>77110073.05030002</v>
      </c>
      <c r="D38" s="14">
        <f>_xlfn.COMPOUNDVALUE(362)</f>
        <v>78901172</v>
      </c>
      <c r="E38" s="50">
        <f>_xlfn.COMPOUNDVALUE(363)</f>
        <v>82817160.317377</v>
      </c>
      <c r="F38" s="37">
        <f>_xlfn.COMPOUNDVALUE(364)</f>
        <v>85757427.35401504</v>
      </c>
      <c r="G38" s="14">
        <f>_xlfn.COMPOUNDVALUE(365)</f>
        <v>92918379.753339</v>
      </c>
      <c r="H38" s="20">
        <f>_xlfn.COMPOUNDVALUE(366)</f>
        <v>98951655.21661596</v>
      </c>
      <c r="I38" s="13">
        <f>_xlfn.COMPOUNDVALUE(367)</f>
        <v>104201691.18336299</v>
      </c>
      <c r="J38" s="37">
        <f>_xlfn.COMPOUNDVALUE(368)</f>
        <v>107239180.37</v>
      </c>
      <c r="K38" s="20">
        <f>_xlfn.COMPOUNDVALUE(369)</f>
        <v>122749991.412359</v>
      </c>
      <c r="L38" s="14">
        <f>_xlfn.COMPOUNDVALUE(370)</f>
        <v>127699099.42916009</v>
      </c>
      <c r="M38" s="50">
        <f>_xlfn.COMPOUNDVALUE(371)</f>
        <v>134913866.46170402</v>
      </c>
      <c r="N38" s="12">
        <f>_xlfn.COMPOUNDVALUE(372)</f>
        <v>136092851.343323</v>
      </c>
      <c r="O38" s="13">
        <v>142980571.753069</v>
      </c>
    </row>
    <row r="39" spans="1:15" s="61" customFormat="1" ht="4.5" customHeight="1">
      <c r="A39" s="4"/>
      <c r="B39" s="38"/>
      <c r="C39" s="32"/>
      <c r="D39" s="24"/>
      <c r="E39" s="27"/>
      <c r="F39" s="38"/>
      <c r="G39" s="24"/>
      <c r="H39" s="25"/>
      <c r="I39" s="23"/>
      <c r="J39" s="38"/>
      <c r="K39" s="25"/>
      <c r="L39" s="24"/>
      <c r="M39" s="27"/>
      <c r="N39" s="22"/>
      <c r="O39" s="23"/>
    </row>
    <row r="40" spans="1:15" ht="15">
      <c r="A40" s="8" t="s">
        <v>12</v>
      </c>
      <c r="B40" s="37">
        <f>_xlfn.COMPOUNDVALUE(373)</f>
        <v>119251026</v>
      </c>
      <c r="C40" s="31">
        <f>_xlfn.COMPOUNDVALUE(374)</f>
        <v>123435566</v>
      </c>
      <c r="D40" s="14">
        <f>_xlfn.COMPOUNDVALUE(375)</f>
        <v>133593404</v>
      </c>
      <c r="E40" s="50">
        <f>_xlfn.COMPOUNDVALUE(376)</f>
        <v>132591177</v>
      </c>
      <c r="F40" s="37">
        <f>_xlfn.COMPOUNDVALUE(377)</f>
        <v>165809902</v>
      </c>
      <c r="G40" s="14">
        <f>_xlfn.COMPOUNDVALUE(378)</f>
        <v>144643816</v>
      </c>
      <c r="H40" s="20">
        <f>_xlfn.COMPOUNDVALUE(379)</f>
        <v>151286767</v>
      </c>
      <c r="I40" s="13">
        <f>_xlfn.COMPOUNDVALUE(380)</f>
        <v>151010212</v>
      </c>
      <c r="J40" s="37">
        <f>_xlfn.COMPOUNDVALUE(381)</f>
        <v>125276972</v>
      </c>
      <c r="K40" s="20">
        <f>_xlfn.COMPOUNDVALUE(382)</f>
        <v>146971612.5</v>
      </c>
      <c r="L40" s="14">
        <f>_xlfn.COMPOUNDVALUE(383)</f>
        <v>151308531</v>
      </c>
      <c r="M40" s="50">
        <f>_xlfn.COMPOUNDVALUE(384)</f>
        <v>150229398.8</v>
      </c>
      <c r="N40" s="12">
        <f>_xlfn.COMPOUNDVALUE(385)</f>
        <v>147314328</v>
      </c>
      <c r="O40" s="13">
        <v>152866596</v>
      </c>
    </row>
    <row r="41" spans="1:15" ht="3.75" customHeight="1">
      <c r="A41" s="4"/>
      <c r="B41" s="38"/>
      <c r="C41" s="32"/>
      <c r="D41" s="24"/>
      <c r="E41" s="27"/>
      <c r="F41" s="38"/>
      <c r="G41" s="24"/>
      <c r="H41" s="25"/>
      <c r="I41" s="23"/>
      <c r="J41" s="38"/>
      <c r="K41" s="25"/>
      <c r="L41" s="24"/>
      <c r="M41" s="27"/>
      <c r="N41" s="22"/>
      <c r="O41" s="23"/>
    </row>
    <row r="42" spans="1:15" ht="15">
      <c r="A42" s="8" t="s">
        <v>37</v>
      </c>
      <c r="B42" s="37">
        <f>_xlfn.COMPOUNDVALUE(386)</f>
        <v>79836</v>
      </c>
      <c r="C42" s="31">
        <f>_xlfn.COMPOUNDVALUE(387)</f>
        <v>70131</v>
      </c>
      <c r="D42" s="14">
        <f>_xlfn.COMPOUNDVALUE(388)</f>
        <v>70940</v>
      </c>
      <c r="E42" s="50">
        <f>_xlfn.COMPOUNDVALUE(389)</f>
        <v>62396</v>
      </c>
      <c r="F42" s="37">
        <f>_xlfn.COMPOUNDVALUE(390)</f>
        <v>59290</v>
      </c>
      <c r="G42" s="14">
        <f>_xlfn.COMPOUNDVALUE(391)</f>
        <v>60934</v>
      </c>
      <c r="H42" s="20">
        <f>_xlfn.COMPOUNDVALUE(392)</f>
        <v>58103</v>
      </c>
      <c r="I42" s="13">
        <f>_xlfn.COMPOUNDVALUE(393)</f>
        <v>54307</v>
      </c>
      <c r="J42" s="37">
        <f>_xlfn.COMPOUNDVALUE(394)</f>
        <v>54209</v>
      </c>
      <c r="K42" s="20">
        <f>_xlfn.COMPOUNDVALUE(395)</f>
        <v>54577.5</v>
      </c>
      <c r="L42" s="14">
        <f>_xlfn.COMPOUNDVALUE(396)</f>
        <v>45988.5</v>
      </c>
      <c r="M42" s="50">
        <f>_xlfn.COMPOUNDVALUE(397)</f>
        <v>62326</v>
      </c>
      <c r="N42" s="12">
        <f>_xlfn.COMPOUNDVALUE(398)</f>
        <v>59645</v>
      </c>
      <c r="O42" s="13">
        <f>_xlfn.COMPOUNDVALUE(399)</f>
        <v>72762</v>
      </c>
    </row>
    <row r="43" spans="1:15" ht="4.5" customHeight="1">
      <c r="A43" s="4"/>
      <c r="B43" s="38"/>
      <c r="C43" s="32"/>
      <c r="D43" s="24"/>
      <c r="E43" s="27"/>
      <c r="F43" s="38"/>
      <c r="G43" s="24"/>
      <c r="H43" s="25"/>
      <c r="I43" s="23"/>
      <c r="J43" s="38"/>
      <c r="K43" s="25"/>
      <c r="L43" s="24"/>
      <c r="M43" s="27"/>
      <c r="N43" s="22"/>
      <c r="O43" s="23"/>
    </row>
    <row r="44" spans="1:15" ht="15">
      <c r="A44" s="8" t="s">
        <v>38</v>
      </c>
      <c r="B44" s="37">
        <f>B45+B48</f>
        <v>7264277.863433</v>
      </c>
      <c r="C44" s="31">
        <f aca="true" t="shared" si="2" ref="C44:O44">C45+C48</f>
        <v>9937882.853600001</v>
      </c>
      <c r="D44" s="14">
        <f t="shared" si="2"/>
        <v>16383765.2434</v>
      </c>
      <c r="E44" s="50">
        <f t="shared" si="2"/>
        <v>8887888.966628</v>
      </c>
      <c r="F44" s="37">
        <f t="shared" si="2"/>
        <v>7733859.756559</v>
      </c>
      <c r="G44" s="14">
        <f t="shared" si="2"/>
        <v>12167411.823733002</v>
      </c>
      <c r="H44" s="14">
        <f t="shared" si="2"/>
        <v>17594050.816999998</v>
      </c>
      <c r="I44" s="13">
        <f t="shared" si="2"/>
        <v>10478317.36</v>
      </c>
      <c r="J44" s="37">
        <f t="shared" si="2"/>
        <v>7995361.17</v>
      </c>
      <c r="K44" s="20">
        <f t="shared" si="2"/>
        <v>13447178.886666</v>
      </c>
      <c r="L44" s="14">
        <f t="shared" si="2"/>
        <v>19557631.826665998</v>
      </c>
      <c r="M44" s="50">
        <f t="shared" si="2"/>
        <v>10940798.73</v>
      </c>
      <c r="N44" s="12">
        <f t="shared" si="2"/>
        <v>9387455.26</v>
      </c>
      <c r="O44" s="13">
        <f t="shared" si="2"/>
        <v>14155609.580000002</v>
      </c>
    </row>
    <row r="45" spans="1:15" ht="15">
      <c r="A45" s="77" t="s">
        <v>18</v>
      </c>
      <c r="B45" s="82">
        <f>B46+B47</f>
        <v>1787949.210033</v>
      </c>
      <c r="C45" s="83">
        <f aca="true" t="shared" si="3" ref="C45:O45">C46+C47</f>
        <v>1831030.5433000003</v>
      </c>
      <c r="D45" s="79">
        <f t="shared" si="3"/>
        <v>2739041.3167000003</v>
      </c>
      <c r="E45" s="84">
        <f t="shared" si="3"/>
        <v>2273383.356628</v>
      </c>
      <c r="F45" s="82">
        <f t="shared" si="3"/>
        <v>2157649.939959</v>
      </c>
      <c r="G45" s="79">
        <f t="shared" si="3"/>
        <v>2438102.863733</v>
      </c>
      <c r="H45" s="79">
        <f t="shared" si="3"/>
        <v>3319026.3769999994</v>
      </c>
      <c r="I45" s="80">
        <f t="shared" si="3"/>
        <v>2662240.09</v>
      </c>
      <c r="J45" s="82">
        <f t="shared" si="3"/>
        <v>2352019.05</v>
      </c>
      <c r="K45" s="81">
        <f t="shared" si="3"/>
        <v>2647678.316666</v>
      </c>
      <c r="L45" s="79">
        <f t="shared" si="3"/>
        <v>3678268.306666</v>
      </c>
      <c r="M45" s="84">
        <f t="shared" si="3"/>
        <v>2887908.0300000003</v>
      </c>
      <c r="N45" s="78">
        <f t="shared" si="3"/>
        <v>2732353.26</v>
      </c>
      <c r="O45" s="80">
        <f t="shared" si="3"/>
        <v>2962333.62</v>
      </c>
    </row>
    <row r="46" spans="1:15" ht="15" outlineLevel="1">
      <c r="A46" s="4" t="s">
        <v>35</v>
      </c>
      <c r="B46" s="38">
        <f>_xlfn.COMPOUNDVALUE(400)</f>
        <v>1097619.4367</v>
      </c>
      <c r="C46" s="32">
        <f>_xlfn.COMPOUNDVALUE(401)</f>
        <v>1118989.6800000002</v>
      </c>
      <c r="D46" s="24">
        <f>_xlfn.COMPOUNDVALUE(402)</f>
        <v>1629584.3167</v>
      </c>
      <c r="E46" s="27">
        <f>_xlfn.COMPOUNDVALUE(403)</f>
        <v>1368155.719977</v>
      </c>
      <c r="F46" s="38">
        <f>_xlfn.COMPOUNDVALUE(404)</f>
        <v>1287377.426641</v>
      </c>
      <c r="G46" s="24">
        <v>1436305.617</v>
      </c>
      <c r="H46" s="25">
        <v>1928920.9</v>
      </c>
      <c r="I46" s="23">
        <v>1549815.56</v>
      </c>
      <c r="J46" s="38">
        <v>1361875.73</v>
      </c>
      <c r="K46" s="188">
        <v>1511058.426667</v>
      </c>
      <c r="L46" s="152">
        <v>2066303.568333</v>
      </c>
      <c r="M46" s="153">
        <v>1598552.14</v>
      </c>
      <c r="N46" s="22">
        <v>1536754.7999999998</v>
      </c>
      <c r="O46" s="23">
        <v>1673965.41</v>
      </c>
    </row>
    <row r="47" spans="1:15" ht="15" outlineLevel="1">
      <c r="A47" s="4" t="s">
        <v>34</v>
      </c>
      <c r="B47" s="38">
        <f>_xlfn.COMPOUNDVALUE(405)</f>
        <v>690329.773333</v>
      </c>
      <c r="C47" s="32">
        <f>_xlfn.COMPOUNDVALUE(406)</f>
        <v>712040.8633000001</v>
      </c>
      <c r="D47" s="24">
        <f>_xlfn.COMPOUNDVALUE(407)</f>
        <v>1109457</v>
      </c>
      <c r="E47" s="27">
        <f>_xlfn.COMPOUNDVALUE(408)</f>
        <v>905227.636651</v>
      </c>
      <c r="F47" s="38">
        <f>_xlfn.COMPOUNDVALUE(409)</f>
        <v>870272.5133180001</v>
      </c>
      <c r="G47" s="24">
        <v>1001797.246733</v>
      </c>
      <c r="H47" s="25">
        <v>1390105.4769999997</v>
      </c>
      <c r="I47" s="23">
        <v>1112424.53</v>
      </c>
      <c r="J47" s="38">
        <v>990143.32</v>
      </c>
      <c r="K47" s="188">
        <v>1136619.8899990001</v>
      </c>
      <c r="L47" s="152">
        <v>1611964.738333</v>
      </c>
      <c r="M47" s="153">
        <v>1289355.8900000001</v>
      </c>
      <c r="N47" s="22">
        <v>1195598.46</v>
      </c>
      <c r="O47" s="23">
        <v>1288368.21</v>
      </c>
    </row>
    <row r="48" spans="1:15" ht="15">
      <c r="A48" s="77" t="s">
        <v>19</v>
      </c>
      <c r="B48" s="82">
        <f>B49+B50</f>
        <v>5476328.6534</v>
      </c>
      <c r="C48" s="83">
        <f aca="true" t="shared" si="4" ref="C48:O48">C49+C50</f>
        <v>8106852.3103</v>
      </c>
      <c r="D48" s="79">
        <f t="shared" si="4"/>
        <v>13644723.9267</v>
      </c>
      <c r="E48" s="84">
        <f t="shared" si="4"/>
        <v>6614505.61</v>
      </c>
      <c r="F48" s="82">
        <f t="shared" si="4"/>
        <v>5576209.8166000005</v>
      </c>
      <c r="G48" s="79">
        <f t="shared" si="4"/>
        <v>9729308.96</v>
      </c>
      <c r="H48" s="79">
        <f t="shared" si="4"/>
        <v>14275024.44</v>
      </c>
      <c r="I48" s="80">
        <f t="shared" si="4"/>
        <v>7816077.27</v>
      </c>
      <c r="J48" s="82">
        <f t="shared" si="4"/>
        <v>5643342.12</v>
      </c>
      <c r="K48" s="81">
        <f t="shared" si="4"/>
        <v>10799500.57</v>
      </c>
      <c r="L48" s="79">
        <f t="shared" si="4"/>
        <v>15879363.52</v>
      </c>
      <c r="M48" s="84">
        <f t="shared" si="4"/>
        <v>8052890.699999999</v>
      </c>
      <c r="N48" s="78">
        <f t="shared" si="4"/>
        <v>6655102</v>
      </c>
      <c r="O48" s="80">
        <f t="shared" si="4"/>
        <v>11193275.96</v>
      </c>
    </row>
    <row r="49" spans="1:15" ht="15" outlineLevel="1">
      <c r="A49" s="4" t="s">
        <v>35</v>
      </c>
      <c r="B49" s="38">
        <f>_xlfn.COMPOUNDVALUE(410)</f>
        <v>3179879.4701</v>
      </c>
      <c r="C49" s="32">
        <f>_xlfn.COMPOUNDVALUE(411)</f>
        <v>5141674.927</v>
      </c>
      <c r="D49" s="24">
        <f>_xlfn.COMPOUNDVALUE(412)</f>
        <v>8385209.243000001</v>
      </c>
      <c r="E49" s="27">
        <f>_xlfn.COMPOUNDVALUE(413)</f>
        <v>4083525.4933</v>
      </c>
      <c r="F49" s="38">
        <f>_xlfn.COMPOUNDVALUE(414)</f>
        <v>3327211.7333</v>
      </c>
      <c r="G49" s="24">
        <v>6062529.96</v>
      </c>
      <c r="H49" s="25">
        <v>8525257.44</v>
      </c>
      <c r="I49" s="23">
        <v>4355157.27</v>
      </c>
      <c r="J49" s="38">
        <v>3795597.12</v>
      </c>
      <c r="K49" s="188">
        <v>5973902.07</v>
      </c>
      <c r="L49" s="152">
        <v>8393949.52</v>
      </c>
      <c r="M49" s="153">
        <v>4271132.93</v>
      </c>
      <c r="N49" s="22">
        <v>3440434</v>
      </c>
      <c r="O49" s="23">
        <v>5982991.140000001</v>
      </c>
    </row>
    <row r="50" spans="1:15" ht="15" outlineLevel="1">
      <c r="A50" s="4" t="s">
        <v>34</v>
      </c>
      <c r="B50" s="38">
        <f>_xlfn.COMPOUNDVALUE(415)</f>
        <v>2296449.1833</v>
      </c>
      <c r="C50" s="32">
        <f>_xlfn.COMPOUNDVALUE(416)</f>
        <v>2965177.3833</v>
      </c>
      <c r="D50" s="24">
        <f>_xlfn.COMPOUNDVALUE(417)</f>
        <v>5259514.6837</v>
      </c>
      <c r="E50" s="27">
        <f>_xlfn.COMPOUNDVALUE(418)</f>
        <v>2530980.1167</v>
      </c>
      <c r="F50" s="38">
        <f>_xlfn.COMPOUNDVALUE(419)</f>
        <v>2248998.0833</v>
      </c>
      <c r="G50" s="24">
        <v>3666779</v>
      </c>
      <c r="H50" s="25">
        <v>5749767</v>
      </c>
      <c r="I50" s="23">
        <v>3460920</v>
      </c>
      <c r="J50" s="38">
        <v>1847745</v>
      </c>
      <c r="K50" s="188">
        <v>4825598.5</v>
      </c>
      <c r="L50" s="152">
        <v>7485414</v>
      </c>
      <c r="M50" s="153">
        <v>3781757.77</v>
      </c>
      <c r="N50" s="22">
        <v>3214668</v>
      </c>
      <c r="O50" s="23">
        <v>5210284.82</v>
      </c>
    </row>
    <row r="51" spans="1:15" ht="15">
      <c r="A51" s="8" t="s">
        <v>13</v>
      </c>
      <c r="B51" s="89">
        <f>_xlfn.COMPOUNDVALUE(420)</f>
        <v>52.597567954209</v>
      </c>
      <c r="C51" s="90">
        <f>_xlfn.COMPOUNDVALUE(421)</f>
        <v>56.755924216041166</v>
      </c>
      <c r="D51" s="86">
        <f>_xlfn.COMPOUNDVALUE(422)</f>
        <v>56.508345021958775</v>
      </c>
      <c r="E51" s="91">
        <f>_xlfn.COMPOUNDVALUE(423)</f>
        <v>51.980343552212005</v>
      </c>
      <c r="F51" s="89">
        <f>_xlfn.COMPOUNDVALUE(424)</f>
        <v>51.333013149055645</v>
      </c>
      <c r="G51" s="86">
        <f>_xlfn.COMPOUNDVALUE(425)</f>
        <v>52.959103464931204</v>
      </c>
      <c r="H51" s="88">
        <f>_xlfn.COMPOUNDVALUE(426)</f>
        <v>53.83330326030629</v>
      </c>
      <c r="I51" s="87">
        <f>_xlfn.COMPOUNDVALUE(427)</f>
        <v>46.41694660743302</v>
      </c>
      <c r="J51" s="89">
        <f>_xlfn.COMPOUNDVALUE(428)</f>
        <v>46.84642149569304</v>
      </c>
      <c r="K51" s="88">
        <f>_xlfn.COMPOUNDVALUE(429)</f>
        <v>48.505967562135936</v>
      </c>
      <c r="L51" s="86">
        <f>_xlfn.COMPOUNDVALUE(430)</f>
        <v>46.46358593682423</v>
      </c>
      <c r="M51" s="91">
        <f>_xlfn.COMPOUNDVALUE(431)</f>
        <v>46.67577099187092</v>
      </c>
      <c r="N51" s="85">
        <f>_xlfn.COMPOUNDVALUE(432)</f>
        <v>43.49073906503025</v>
      </c>
      <c r="O51" s="87">
        <v>45.28</v>
      </c>
    </row>
    <row r="52" spans="1:15" s="61" customFormat="1" ht="4.5" customHeight="1">
      <c r="A52" s="4"/>
      <c r="B52" s="58"/>
      <c r="C52" s="59"/>
      <c r="D52" s="55"/>
      <c r="E52" s="60"/>
      <c r="F52" s="58"/>
      <c r="G52" s="55"/>
      <c r="H52" s="57"/>
      <c r="I52" s="56"/>
      <c r="J52" s="58"/>
      <c r="K52" s="184"/>
      <c r="L52" s="182"/>
      <c r="M52" s="183"/>
      <c r="N52" s="54"/>
      <c r="O52" s="56"/>
    </row>
    <row r="53" spans="1:15" ht="15">
      <c r="A53" s="8" t="s">
        <v>5</v>
      </c>
      <c r="B53" s="45">
        <f>_xlfn.COMPOUNDVALUE(208)</f>
        <v>0.9320313824248735</v>
      </c>
      <c r="C53" s="46">
        <f>_xlfn.COMPOUNDVALUE(209)</f>
        <v>0.9782671864784367</v>
      </c>
      <c r="D53" s="42">
        <f>_xlfn.COMPOUNDVALUE(210)</f>
        <v>1.0130069980870282</v>
      </c>
      <c r="E53" s="47">
        <f>_xlfn.COMPOUNDVALUE(211)</f>
        <v>1.0220669782308642</v>
      </c>
      <c r="F53" s="45">
        <f>_xlfn.COMPOUNDVALUE(212)</f>
        <v>1.0396152455479541</v>
      </c>
      <c r="G53" s="42">
        <f>_xlfn.COMPOUNDVALUE(213)</f>
        <v>1.0524858901816736</v>
      </c>
      <c r="H53" s="44">
        <f>_xlfn.COMPOUNDVALUE(214)</f>
        <v>1.0915264464808665</v>
      </c>
      <c r="I53" s="43">
        <f>_xlfn.COMPOUNDVALUE(215)</f>
        <v>1.0909014719228385</v>
      </c>
      <c r="J53" s="45">
        <f>_xlfn.COMPOUNDVALUE(216)</f>
        <v>1.1107330400821807</v>
      </c>
      <c r="K53" s="44">
        <f>_xlfn.COMPOUNDVALUE(217)</f>
        <v>1.1769252688468141</v>
      </c>
      <c r="L53" s="42">
        <f>_xlfn.COMPOUNDVALUE(218)</f>
        <v>1.2591633003445741</v>
      </c>
      <c r="M53" s="47">
        <f>_xlfn.COMPOUNDVALUE(219)</f>
        <v>1.2493456923448998</v>
      </c>
      <c r="N53" s="41">
        <f>_xlfn.COMPOUNDVALUE(220)</f>
        <v>1.2481747630005484</v>
      </c>
      <c r="O53" s="43">
        <v>1.3015</v>
      </c>
    </row>
    <row r="54" spans="1:15" ht="5.25" customHeight="1">
      <c r="A54" s="4"/>
      <c r="B54" s="58"/>
      <c r="C54" s="59"/>
      <c r="D54" s="55"/>
      <c r="E54" s="60"/>
      <c r="F54" s="58"/>
      <c r="G54" s="55"/>
      <c r="H54" s="57"/>
      <c r="I54" s="56"/>
      <c r="J54" s="58"/>
      <c r="K54" s="57"/>
      <c r="L54" s="55"/>
      <c r="M54" s="60"/>
      <c r="N54" s="54"/>
      <c r="O54" s="56"/>
    </row>
    <row r="55" spans="1:15" ht="15">
      <c r="A55" s="8" t="s">
        <v>40</v>
      </c>
      <c r="B55" s="99">
        <f>_xlfn.COMPOUNDVALUE(433)</f>
        <v>18517</v>
      </c>
      <c r="C55" s="100">
        <f>_xlfn.COMPOUNDVALUE(434)</f>
        <v>12146</v>
      </c>
      <c r="D55" s="97">
        <f>_xlfn.COMPOUNDVALUE(435)</f>
        <v>9775</v>
      </c>
      <c r="E55" s="101">
        <f>_xlfn.COMPOUNDVALUE(436)</f>
        <v>12026</v>
      </c>
      <c r="F55" s="99">
        <f>_xlfn.COMPOUNDVALUE(437)</f>
        <v>9364</v>
      </c>
      <c r="G55" s="97">
        <f>_xlfn.COMPOUNDVALUE(438)</f>
        <v>10400</v>
      </c>
      <c r="H55" s="98">
        <f>_xlfn.COMPOUNDVALUE(439)</f>
        <v>12251</v>
      </c>
      <c r="I55" s="96">
        <f>_xlfn.COMPOUNDVALUE(440)</f>
        <v>15101</v>
      </c>
      <c r="J55" s="99">
        <f>_xlfn.COMPOUNDVALUE(441)</f>
        <v>13631</v>
      </c>
      <c r="K55" s="98">
        <f>_xlfn.COMPOUNDVALUE(442)</f>
        <v>15101</v>
      </c>
      <c r="L55" s="97">
        <f>_xlfn.COMPOUNDVALUE(443)</f>
        <v>16878</v>
      </c>
      <c r="M55" s="101">
        <f>_xlfn.COMPOUNDVALUE(444)</f>
        <v>15308</v>
      </c>
      <c r="N55" s="95">
        <f>_xlfn.COMPOUNDVALUE(445)</f>
        <v>10141</v>
      </c>
      <c r="O55" s="96">
        <f>_xlfn.COMPOUNDVALUE(446)</f>
        <v>12710</v>
      </c>
    </row>
    <row r="56" spans="1:15" s="61" customFormat="1" ht="4.5" customHeight="1">
      <c r="A56" s="4"/>
      <c r="B56" s="58"/>
      <c r="C56" s="59"/>
      <c r="D56" s="55"/>
      <c r="E56" s="60"/>
      <c r="F56" s="58"/>
      <c r="G56" s="55"/>
      <c r="H56" s="57"/>
      <c r="I56" s="56"/>
      <c r="J56" s="58"/>
      <c r="K56" s="184"/>
      <c r="L56" s="182"/>
      <c r="M56" s="183"/>
      <c r="N56" s="54"/>
      <c r="O56" s="56"/>
    </row>
    <row r="57" spans="1:15" ht="15">
      <c r="A57" s="303" t="s">
        <v>6</v>
      </c>
      <c r="B57" s="304"/>
      <c r="C57" s="304"/>
      <c r="D57" s="304"/>
      <c r="E57" s="304"/>
      <c r="F57" s="304"/>
      <c r="G57" s="304"/>
      <c r="H57" s="304"/>
      <c r="I57" s="304"/>
      <c r="J57" s="304"/>
      <c r="K57" s="304"/>
      <c r="L57" s="304"/>
      <c r="M57" s="304"/>
      <c r="N57" s="304"/>
      <c r="O57" s="305"/>
    </row>
    <row r="58" spans="1:15" ht="6" customHeight="1">
      <c r="A58" s="9"/>
      <c r="B58" s="39"/>
      <c r="C58" s="33"/>
      <c r="D58" s="17"/>
      <c r="E58" s="51"/>
      <c r="F58" s="39"/>
      <c r="G58" s="17"/>
      <c r="H58" s="21"/>
      <c r="I58" s="16"/>
      <c r="J58" s="39"/>
      <c r="K58" s="113"/>
      <c r="L58" s="174"/>
      <c r="M58" s="159"/>
      <c r="N58" s="15"/>
      <c r="O58" s="16"/>
    </row>
    <row r="59" spans="1:15" ht="15">
      <c r="A59" s="8" t="s">
        <v>99</v>
      </c>
      <c r="B59" s="37">
        <f>B66+B73+B80</f>
        <v>245807</v>
      </c>
      <c r="C59" s="31">
        <f aca="true" t="shared" si="5" ref="C59:O59">C66+C73+C80</f>
        <v>246651</v>
      </c>
      <c r="D59" s="14">
        <f t="shared" si="5"/>
        <v>247634</v>
      </c>
      <c r="E59" s="50">
        <f t="shared" si="5"/>
        <v>246890</v>
      </c>
      <c r="F59" s="37">
        <f t="shared" si="5"/>
        <v>247186</v>
      </c>
      <c r="G59" s="14">
        <f t="shared" si="5"/>
        <v>246345</v>
      </c>
      <c r="H59" s="14">
        <f t="shared" si="5"/>
        <v>245861</v>
      </c>
      <c r="I59" s="13">
        <f t="shared" si="5"/>
        <v>247635</v>
      </c>
      <c r="J59" s="37">
        <f t="shared" si="5"/>
        <v>245708</v>
      </c>
      <c r="K59" s="20">
        <f t="shared" si="5"/>
        <v>242873</v>
      </c>
      <c r="L59" s="14">
        <f t="shared" si="5"/>
        <v>237599</v>
      </c>
      <c r="M59" s="50">
        <f t="shared" si="5"/>
        <v>232203</v>
      </c>
      <c r="N59" s="12">
        <f t="shared" si="5"/>
        <v>231243</v>
      </c>
      <c r="O59" s="13">
        <f t="shared" si="5"/>
        <v>233160</v>
      </c>
    </row>
    <row r="60" spans="1:15" ht="15" outlineLevel="1">
      <c r="A60" s="4" t="s">
        <v>161</v>
      </c>
      <c r="B60" s="119">
        <f>_xlfn.COMPOUNDVALUE(447)</f>
        <v>0.7768086344164324</v>
      </c>
      <c r="C60" s="120">
        <f>_xlfn.COMPOUNDVALUE(448)</f>
        <v>0.7706840839891183</v>
      </c>
      <c r="D60" s="117">
        <f>_xlfn.COMPOUNDVALUE(449)</f>
        <v>0.7686020497993006</v>
      </c>
      <c r="E60" s="116">
        <f>_xlfn.COMPOUNDVALUE(450)</f>
        <v>0.7693547733808579</v>
      </c>
      <c r="F60" s="119">
        <f>_xlfn.COMPOUNDVALUE(451)</f>
        <v>0.7670094584644761</v>
      </c>
      <c r="G60" s="117">
        <v>0.767078690454444</v>
      </c>
      <c r="H60" s="118">
        <v>0.7706346268826695</v>
      </c>
      <c r="I60" s="121">
        <v>0.7704726714721263</v>
      </c>
      <c r="J60" s="119">
        <v>0.7668533381086493</v>
      </c>
      <c r="K60" s="118">
        <v>0.7600639017099472</v>
      </c>
      <c r="L60" s="117">
        <v>0.7491361495629191</v>
      </c>
      <c r="M60" s="116">
        <v>0.7350163434580949</v>
      </c>
      <c r="N60" s="115">
        <v>0.7320481052399423</v>
      </c>
      <c r="O60" s="121">
        <v>0.7231943729627723</v>
      </c>
    </row>
    <row r="61" spans="1:15" ht="15" outlineLevel="1">
      <c r="A61" s="4" t="s">
        <v>162</v>
      </c>
      <c r="B61" s="119">
        <f>_xlfn.COMPOUNDVALUE(447)</f>
        <v>0.21623061995793447</v>
      </c>
      <c r="C61" s="120">
        <f>_xlfn.COMPOUNDVALUE(448)</f>
        <v>0.2225735958905498</v>
      </c>
      <c r="D61" s="117">
        <f>_xlfn.COMPOUNDVALUE(449)</f>
        <v>0.22447644507620118</v>
      </c>
      <c r="E61" s="116">
        <f>_xlfn.COMPOUNDVALUE(450)</f>
        <v>0.22370691401028797</v>
      </c>
      <c r="F61" s="119">
        <f>_xlfn.COMPOUNDVALUE(451)</f>
        <v>0.22589062487357697</v>
      </c>
      <c r="G61" s="117">
        <v>0.22546022854127343</v>
      </c>
      <c r="H61" s="118">
        <v>0.2222231260753027</v>
      </c>
      <c r="I61" s="121">
        <v>0.22197993013911604</v>
      </c>
      <c r="J61" s="119">
        <v>0.22575577514773632</v>
      </c>
      <c r="K61" s="118">
        <v>0.23270186476059507</v>
      </c>
      <c r="L61" s="117">
        <v>0.24371314694085414</v>
      </c>
      <c r="M61" s="116">
        <v>0.2576969289802457</v>
      </c>
      <c r="N61" s="115">
        <v>0.2607473523522874</v>
      </c>
      <c r="O61" s="121">
        <v>0.26975896380168124</v>
      </c>
    </row>
    <row r="62" spans="1:15" ht="15" outlineLevel="1">
      <c r="A62" s="4" t="s">
        <v>163</v>
      </c>
      <c r="B62" s="119">
        <f>_xlfn.COMPOUNDVALUE(447)</f>
        <v>0.00035800445064623873</v>
      </c>
      <c r="C62" s="120">
        <f>_xlfn.COMPOUNDVALUE(448)</f>
        <v>0.0003729966633015881</v>
      </c>
      <c r="D62" s="117">
        <f>_xlfn.COMPOUNDVALUE(449)</f>
        <v>0.0003553631569170631</v>
      </c>
      <c r="E62" s="116">
        <f>_xlfn.COMPOUNDVALUE(450)</f>
        <v>0.0004090890680059946</v>
      </c>
      <c r="F62" s="119">
        <f>_xlfn.COMPOUNDVALUE(451)</f>
        <v>0.0005744661914509722</v>
      </c>
      <c r="G62" s="117">
        <v>0.0006413769307272321</v>
      </c>
      <c r="H62" s="118">
        <v>0.0006792455899878386</v>
      </c>
      <c r="I62" s="121">
        <v>0.0007147616451632443</v>
      </c>
      <c r="J62" s="119">
        <v>0.00072036726520911</v>
      </c>
      <c r="K62" s="118">
        <v>0.0007864192396849382</v>
      </c>
      <c r="L62" s="117">
        <v>0.0008333368406432687</v>
      </c>
      <c r="M62" s="116">
        <v>0.0008828481974823754</v>
      </c>
      <c r="N62" s="115">
        <v>0.0008994866871645845</v>
      </c>
      <c r="O62" s="121">
        <v>0.000896380168124803</v>
      </c>
    </row>
    <row r="63" spans="1:15" ht="15" outlineLevel="1">
      <c r="A63" s="4" t="s">
        <v>164</v>
      </c>
      <c r="B63" s="119">
        <f>_xlfn.COMPOUNDVALUE(447)</f>
        <v>0.004873742407661295</v>
      </c>
      <c r="C63" s="120">
        <f>_xlfn.COMPOUNDVALUE(448)</f>
        <v>0.004520557386752943</v>
      </c>
      <c r="D63" s="117">
        <f>_xlfn.COMPOUNDVALUE(449)</f>
        <v>0.004740867570689001</v>
      </c>
      <c r="E63" s="116">
        <f>_xlfn.COMPOUNDVALUE(450)</f>
        <v>0.0043460650492122</v>
      </c>
      <c r="F63" s="119">
        <f>_xlfn.COMPOUNDVALUE(451)</f>
        <v>0.004272086606846666</v>
      </c>
      <c r="G63" s="117">
        <v>0.0044409263431366575</v>
      </c>
      <c r="H63" s="118">
        <v>0.0040185307958561945</v>
      </c>
      <c r="I63" s="121">
        <v>0.0041230036141902396</v>
      </c>
      <c r="J63" s="119">
        <v>0.0038663779771110425</v>
      </c>
      <c r="K63" s="118">
        <v>0.0037921053390043355</v>
      </c>
      <c r="L63" s="117">
        <v>0.0037963122740415573</v>
      </c>
      <c r="M63" s="116">
        <v>0.004061101708418927</v>
      </c>
      <c r="N63" s="115">
        <v>0.004099583554961664</v>
      </c>
      <c r="O63" s="121">
        <v>0.004029528220964145</v>
      </c>
    </row>
    <row r="64" spans="1:15" ht="15" outlineLevel="1">
      <c r="A64" s="4" t="s">
        <v>165</v>
      </c>
      <c r="B64" s="119">
        <f>_xlfn.COMPOUNDVALUE(447)</f>
        <v>0.0017289987673255846</v>
      </c>
      <c r="C64" s="120">
        <f>_xlfn.COMPOUNDVALUE(448)</f>
        <v>0.0018487660702774366</v>
      </c>
      <c r="D64" s="117">
        <f>_xlfn.COMPOUNDVALUE(449)</f>
        <v>0.0018252743968921877</v>
      </c>
      <c r="E64" s="116">
        <f>_xlfn.COMPOUNDVALUE(450)</f>
        <v>0.0021831584916359513</v>
      </c>
      <c r="F64" s="119">
        <f>_xlfn.COMPOUNDVALUE(451)</f>
        <v>0.002253363863649236</v>
      </c>
      <c r="G64" s="117">
        <v>0.002378777730418722</v>
      </c>
      <c r="H64" s="118">
        <v>0.0024444706561837786</v>
      </c>
      <c r="I64" s="121">
        <v>0.0027096331294041635</v>
      </c>
      <c r="J64" s="119">
        <v>0.0028041415012942193</v>
      </c>
      <c r="K64" s="118">
        <v>0.0026557089507685087</v>
      </c>
      <c r="L64" s="117">
        <v>0.00252105438154201</v>
      </c>
      <c r="M64" s="116">
        <v>0.0023427776557581083</v>
      </c>
      <c r="N64" s="115">
        <v>0.002205472165643933</v>
      </c>
      <c r="O64" s="121">
        <v>0.0021358723623262996</v>
      </c>
    </row>
    <row r="65" spans="1:15" ht="3" customHeight="1">
      <c r="A65" s="4"/>
      <c r="B65" s="119"/>
      <c r="C65" s="120"/>
      <c r="D65" s="117"/>
      <c r="E65" s="116"/>
      <c r="F65" s="119"/>
      <c r="G65" s="117"/>
      <c r="H65" s="118"/>
      <c r="I65" s="121"/>
      <c r="J65" s="119"/>
      <c r="K65" s="118"/>
      <c r="L65" s="117"/>
      <c r="M65" s="116"/>
      <c r="N65" s="115"/>
      <c r="O65" s="121"/>
    </row>
    <row r="66" spans="1:15" ht="15">
      <c r="A66" s="77" t="s">
        <v>33</v>
      </c>
      <c r="B66" s="82">
        <f>_xlfn.COMPOUNDVALUE(447)</f>
        <v>51520</v>
      </c>
      <c r="C66" s="83">
        <f>_xlfn.COMPOUNDVALUE(448)</f>
        <v>53613</v>
      </c>
      <c r="D66" s="79">
        <f>_xlfn.COMPOUNDVALUE(449)</f>
        <v>54742</v>
      </c>
      <c r="E66" s="84">
        <f>_xlfn.COMPOUNDVALUE(450)</f>
        <v>55305</v>
      </c>
      <c r="F66" s="82">
        <f>_xlfn.COMPOUNDVALUE(451)</f>
        <v>55607</v>
      </c>
      <c r="G66" s="79">
        <v>55939</v>
      </c>
      <c r="H66" s="81">
        <v>55941</v>
      </c>
      <c r="I66" s="80">
        <v>56029</v>
      </c>
      <c r="J66" s="82">
        <v>54973</v>
      </c>
      <c r="K66" s="81">
        <v>51548</v>
      </c>
      <c r="L66" s="79">
        <v>45240</v>
      </c>
      <c r="M66" s="84">
        <v>40027</v>
      </c>
      <c r="N66" s="78">
        <v>40242</v>
      </c>
      <c r="O66" s="80">
        <v>40452</v>
      </c>
    </row>
    <row r="67" spans="1:15" ht="15" outlineLevel="1">
      <c r="A67" s="4" t="s">
        <v>147</v>
      </c>
      <c r="B67" s="119">
        <v>0.8935170807453416</v>
      </c>
      <c r="C67" s="120">
        <v>0.8691362169623039</v>
      </c>
      <c r="D67" s="117">
        <v>0.8570750063936283</v>
      </c>
      <c r="E67" s="116">
        <v>0.8526715486845674</v>
      </c>
      <c r="F67" s="119">
        <v>0.8489938317118348</v>
      </c>
      <c r="G67" s="117">
        <v>0.8467437744686176</v>
      </c>
      <c r="H67" s="118">
        <v>0.8474821687134659</v>
      </c>
      <c r="I67" s="121">
        <v>0.8523443216905531</v>
      </c>
      <c r="J67" s="119">
        <v>0.8528732286758954</v>
      </c>
      <c r="K67" s="154">
        <v>0.8429812989834717</v>
      </c>
      <c r="L67" s="176">
        <v>0.820844385499558</v>
      </c>
      <c r="M67" s="177">
        <v>0.7983860893896619</v>
      </c>
      <c r="N67" s="115">
        <v>0.8000347895233836</v>
      </c>
      <c r="O67" s="121">
        <v>0.7984772075546327</v>
      </c>
    </row>
    <row r="68" spans="1:15" ht="15" outlineLevel="1">
      <c r="A68" s="4" t="s">
        <v>146</v>
      </c>
      <c r="B68" s="119">
        <f>_xlfn.COMPOUNDVALUE(457)</f>
        <v>0.10564829192546583</v>
      </c>
      <c r="C68" s="120">
        <f>_xlfn.COMPOUNDVALUE(458)</f>
        <v>0.1301549997202171</v>
      </c>
      <c r="D68" s="117">
        <f>_xlfn.COMPOUNDVALUE(459)</f>
        <v>0.14199335062657556</v>
      </c>
      <c r="E68" s="116">
        <f>_xlfn.COMPOUNDVALUE(460)</f>
        <v>0.14682216797757888</v>
      </c>
      <c r="F68" s="119">
        <f>_xlfn.COMPOUNDVALUE(461)</f>
        <v>0.15055658460265794</v>
      </c>
      <c r="G68" s="117">
        <v>0.15277355691020575</v>
      </c>
      <c r="H68" s="118">
        <v>0.15203517992170323</v>
      </c>
      <c r="I68" s="121">
        <v>0.14717378500419426</v>
      </c>
      <c r="J68" s="119">
        <v>0.1463081876557583</v>
      </c>
      <c r="K68" s="154">
        <v>0.1561457282532785</v>
      </c>
      <c r="L68" s="176">
        <v>0.1781609195402299</v>
      </c>
      <c r="M68" s="177">
        <v>0.20043970320033977</v>
      </c>
      <c r="N68" s="115">
        <v>0.1987724268177526</v>
      </c>
      <c r="O68" s="121">
        <v>0.2003362009294967</v>
      </c>
    </row>
    <row r="69" spans="1:15" ht="15" outlineLevel="1">
      <c r="A69" s="4" t="s">
        <v>149</v>
      </c>
      <c r="B69" s="134">
        <v>0</v>
      </c>
      <c r="C69" s="135">
        <v>0</v>
      </c>
      <c r="D69" s="132">
        <v>0</v>
      </c>
      <c r="E69" s="136">
        <v>0</v>
      </c>
      <c r="F69" s="134">
        <v>0</v>
      </c>
      <c r="G69" s="132">
        <v>0</v>
      </c>
      <c r="H69" s="133">
        <v>0</v>
      </c>
      <c r="I69" s="131">
        <v>0</v>
      </c>
      <c r="J69" s="134">
        <v>0</v>
      </c>
      <c r="K69" s="160">
        <v>0</v>
      </c>
      <c r="L69" s="175">
        <v>0</v>
      </c>
      <c r="M69" s="161">
        <v>0</v>
      </c>
      <c r="N69" s="130">
        <v>0</v>
      </c>
      <c r="O69" s="131">
        <v>0</v>
      </c>
    </row>
    <row r="70" spans="1:15" ht="15" outlineLevel="1">
      <c r="A70" s="4" t="s">
        <v>141</v>
      </c>
      <c r="B70" s="119">
        <v>0.0008346273291925466</v>
      </c>
      <c r="C70" s="120">
        <v>0.0007087833174789697</v>
      </c>
      <c r="D70" s="117">
        <v>0.0009316429797961346</v>
      </c>
      <c r="E70" s="116">
        <v>0.0005062833378537203</v>
      </c>
      <c r="F70" s="119">
        <v>0.0004495836855072203</v>
      </c>
      <c r="G70" s="117">
        <v>0.00048266862117663883</v>
      </c>
      <c r="H70" s="118">
        <v>0.00048265136483080387</v>
      </c>
      <c r="I70" s="121">
        <v>0.000481893305252637</v>
      </c>
      <c r="J70" s="119">
        <v>0.000818583668346279</v>
      </c>
      <c r="K70" s="154">
        <v>0.0008729727632497866</v>
      </c>
      <c r="L70" s="176">
        <v>0.0009946949602122016</v>
      </c>
      <c r="M70" s="177">
        <v>0.001174207409998251</v>
      </c>
      <c r="N70" s="115">
        <v>0.0011927836588638736</v>
      </c>
      <c r="O70" s="121">
        <v>0.0011865915158706616</v>
      </c>
    </row>
    <row r="71" spans="1:15" ht="15" outlineLevel="1">
      <c r="A71" s="4" t="s">
        <v>148</v>
      </c>
      <c r="B71" s="134">
        <v>0</v>
      </c>
      <c r="C71" s="135">
        <v>0</v>
      </c>
      <c r="D71" s="132">
        <v>0</v>
      </c>
      <c r="E71" s="136">
        <v>0</v>
      </c>
      <c r="F71" s="134">
        <v>0</v>
      </c>
      <c r="G71" s="132">
        <v>0</v>
      </c>
      <c r="H71" s="133">
        <v>0</v>
      </c>
      <c r="I71" s="131">
        <v>0</v>
      </c>
      <c r="J71" s="134">
        <v>0</v>
      </c>
      <c r="K71" s="160">
        <v>0</v>
      </c>
      <c r="L71" s="175">
        <v>0</v>
      </c>
      <c r="M71" s="161">
        <v>0</v>
      </c>
      <c r="N71" s="130">
        <v>0</v>
      </c>
      <c r="O71" s="131">
        <v>0</v>
      </c>
    </row>
    <row r="72" spans="1:15" ht="3.75" customHeight="1">
      <c r="A72" s="4" t="s">
        <v>105</v>
      </c>
      <c r="B72" s="38"/>
      <c r="C72" s="32"/>
      <c r="D72" s="24"/>
      <c r="E72" s="27"/>
      <c r="F72" s="38"/>
      <c r="G72" s="24"/>
      <c r="H72" s="25"/>
      <c r="I72" s="23"/>
      <c r="J72" s="38"/>
      <c r="K72" s="113"/>
      <c r="L72" s="174"/>
      <c r="M72" s="159"/>
      <c r="N72" s="22"/>
      <c r="O72" s="23"/>
    </row>
    <row r="73" spans="1:15" ht="15">
      <c r="A73" s="77" t="s">
        <v>32</v>
      </c>
      <c r="B73" s="82">
        <f>_xlfn.COMPOUNDVALUE(452)</f>
        <v>191388</v>
      </c>
      <c r="C73" s="83">
        <f>_xlfn.COMPOUNDVALUE(453)</f>
        <v>190160</v>
      </c>
      <c r="D73" s="79">
        <f>_xlfn.COMPOUNDVALUE(454)</f>
        <v>190003</v>
      </c>
      <c r="E73" s="84">
        <f>_xlfn.COMPOUNDVALUE(455)</f>
        <v>188738</v>
      </c>
      <c r="F73" s="82">
        <f>_xlfn.COMPOUNDVALUE(456)</f>
        <v>188720</v>
      </c>
      <c r="G73" s="79">
        <v>187517</v>
      </c>
      <c r="H73" s="81">
        <v>187060</v>
      </c>
      <c r="I73" s="80">
        <v>188700</v>
      </c>
      <c r="J73" s="82">
        <v>187830</v>
      </c>
      <c r="K73" s="81">
        <v>188420</v>
      </c>
      <c r="L73" s="79">
        <v>189490</v>
      </c>
      <c r="M73" s="84">
        <v>189350</v>
      </c>
      <c r="N73" s="78">
        <v>188159</v>
      </c>
      <c r="O73" s="80">
        <v>189892</v>
      </c>
    </row>
    <row r="74" spans="1:15" ht="15" outlineLevel="1">
      <c r="A74" s="4" t="s">
        <v>118</v>
      </c>
      <c r="B74" s="119">
        <v>0.7422408928459464</v>
      </c>
      <c r="C74" s="120">
        <v>0.7396771140092554</v>
      </c>
      <c r="D74" s="117">
        <v>0.7398409498797387</v>
      </c>
      <c r="E74" s="116">
        <v>0.7416524494272484</v>
      </c>
      <c r="F74" s="119">
        <v>0.7395665536244171</v>
      </c>
      <c r="G74" s="117">
        <v>0.7400502354453197</v>
      </c>
      <c r="H74" s="118">
        <v>0.7444295947824228</v>
      </c>
      <c r="I74" s="121">
        <v>0.7428987811340753</v>
      </c>
      <c r="J74" s="119">
        <v>0.7383218868125433</v>
      </c>
      <c r="K74" s="154">
        <v>0.7339189045748858</v>
      </c>
      <c r="L74" s="176">
        <v>0.7284764367512797</v>
      </c>
      <c r="M74" s="177">
        <v>0.7179456033799841</v>
      </c>
      <c r="N74" s="115">
        <v>0.713747415749446</v>
      </c>
      <c r="O74" s="121">
        <v>0.7033471657573779</v>
      </c>
    </row>
    <row r="75" spans="1:15" ht="15" outlineLevel="1">
      <c r="A75" s="4" t="s">
        <v>145</v>
      </c>
      <c r="B75" s="119">
        <f>_xlfn.COMPOUNDVALUE(477)</f>
        <v>0.24927372667042866</v>
      </c>
      <c r="C75" s="120">
        <f>_xlfn.COMPOUNDVALUE(478)</f>
        <v>0.2519983172065629</v>
      </c>
      <c r="D75" s="117">
        <f>_xlfn.COMPOUNDVALUE(479)</f>
        <v>0.2516539212538749</v>
      </c>
      <c r="E75" s="116">
        <f>_xlfn.COMPOUNDVALUE(480)</f>
        <v>0.24961057126810712</v>
      </c>
      <c r="F75" s="119">
        <f>_xlfn.COMPOUNDVALUE(481)</f>
        <v>0.25151017380245866</v>
      </c>
      <c r="G75" s="117">
        <v>0.2506172773668521</v>
      </c>
      <c r="H75" s="118">
        <v>0.24661071314016894</v>
      </c>
      <c r="I75" s="121">
        <v>0.24760996290408055</v>
      </c>
      <c r="J75" s="119">
        <v>0.2524996007027631</v>
      </c>
      <c r="K75" s="154">
        <v>0.2572338392951916</v>
      </c>
      <c r="L75" s="176">
        <v>0.26305345928545043</v>
      </c>
      <c r="M75" s="177">
        <v>0.2736466860311592</v>
      </c>
      <c r="N75" s="115">
        <v>0.2779404652448195</v>
      </c>
      <c r="O75" s="121">
        <v>0.28854822741347713</v>
      </c>
    </row>
    <row r="76" spans="1:15" ht="15" outlineLevel="1">
      <c r="A76" s="4" t="s">
        <v>144</v>
      </c>
      <c r="B76" s="119">
        <f>_xlfn.COMPOUNDVALUE(482)</f>
        <v>0.00045979894246243235</v>
      </c>
      <c r="C76" s="120">
        <f>_xlfn.COMPOUNDVALUE(483)</f>
        <v>0.00048380311316785865</v>
      </c>
      <c r="D76" s="117">
        <f>_xlfn.COMPOUNDVALUE(484)</f>
        <v>0.00046315058183291844</v>
      </c>
      <c r="E76" s="116">
        <f>_xlfn.COMPOUNDVALUE(485)</f>
        <v>0.0005351333594718605</v>
      </c>
      <c r="F76" s="119">
        <f>_xlfn.COMPOUNDVALUE(486)</f>
        <v>0.0007524374735057228</v>
      </c>
      <c r="G76" s="117">
        <v>0.0008425902718153554</v>
      </c>
      <c r="H76" s="118">
        <v>0.0008927616807441462</v>
      </c>
      <c r="I76" s="121">
        <v>0.0009379968203497615</v>
      </c>
      <c r="J76" s="119">
        <v>0.0009423414789969653</v>
      </c>
      <c r="K76" s="154">
        <v>0.0010136928139263348</v>
      </c>
      <c r="L76" s="176">
        <v>0.0010449100216370257</v>
      </c>
      <c r="M76" s="177">
        <v>0.0010826511750726168</v>
      </c>
      <c r="N76" s="115">
        <v>0.0011054480519135412</v>
      </c>
      <c r="O76" s="121">
        <v>0.001100625618772666</v>
      </c>
    </row>
    <row r="77" spans="1:15" ht="15" outlineLevel="1">
      <c r="A77" s="4" t="s">
        <v>142</v>
      </c>
      <c r="B77" s="119">
        <f>_xlfn.COMPOUNDVALUE(487)</f>
        <v>0.005804961648588208</v>
      </c>
      <c r="C77" s="120">
        <f>_xlfn.COMPOUNDVALUE(488)</f>
        <v>0.00544278502313841</v>
      </c>
      <c r="D77" s="117">
        <f>_xlfn.COMPOUNDVALUE(489)</f>
        <v>0.005663068477866139</v>
      </c>
      <c r="E77" s="116">
        <f>_xlfn.COMPOUNDVALUE(490)</f>
        <v>0.005346035244624824</v>
      </c>
      <c r="F77" s="119">
        <f>_xlfn.COMPOUNDVALUE(491)</f>
        <v>0.0052193726155150486</v>
      </c>
      <c r="G77" s="117">
        <v>0.005364846920545871</v>
      </c>
      <c r="H77" s="118">
        <v>0.004854057521650807</v>
      </c>
      <c r="I77" s="121">
        <v>0.0049973502914679386</v>
      </c>
      <c r="J77" s="119">
        <v>0.004567960389714103</v>
      </c>
      <c r="K77" s="154">
        <v>0.004410359834412483</v>
      </c>
      <c r="L77" s="176">
        <v>0.004264077260013721</v>
      </c>
      <c r="M77" s="177">
        <v>0.004452072880908371</v>
      </c>
      <c r="N77" s="115">
        <v>0.004496197364994499</v>
      </c>
      <c r="O77" s="121">
        <v>0.0044</v>
      </c>
    </row>
    <row r="78" spans="1:15" ht="15" outlineLevel="1">
      <c r="A78" s="4" t="s">
        <v>143</v>
      </c>
      <c r="B78" s="119">
        <f>_xlfn.COMPOUNDVALUE(492)</f>
        <v>0.0022206198925742472</v>
      </c>
      <c r="C78" s="120">
        <f>_xlfn.COMPOUNDVALUE(493)</f>
        <v>0.0023979806478754734</v>
      </c>
      <c r="D78" s="117">
        <f>_xlfn.COMPOUNDVALUE(494)</f>
        <v>0.002378909806687263</v>
      </c>
      <c r="E78" s="116">
        <f>_xlfn.COMPOUNDVALUE(495)</f>
        <v>0.002855810700547849</v>
      </c>
      <c r="F78" s="119">
        <f>_xlfn.COMPOUNDVALUE(496)</f>
        <v>0.0029514624841034337</v>
      </c>
      <c r="G78" s="117">
        <v>0.0031250499954670777</v>
      </c>
      <c r="H78" s="118">
        <v>0.0032128728750133646</v>
      </c>
      <c r="I78" s="121">
        <v>0.003555908850026497</v>
      </c>
      <c r="J78" s="119">
        <v>0.0036682106159825374</v>
      </c>
      <c r="K78" s="154">
        <v>0.003423203481583696</v>
      </c>
      <c r="L78" s="176">
        <v>0.0031611166816190826</v>
      </c>
      <c r="M78" s="177">
        <v>0.002872986532875627</v>
      </c>
      <c r="N78" s="115">
        <v>0.0027104735888264712</v>
      </c>
      <c r="O78" s="121">
        <v>0.0026225433404250837</v>
      </c>
    </row>
    <row r="79" spans="1:15" ht="3.75" customHeight="1">
      <c r="A79" s="4"/>
      <c r="B79" s="38"/>
      <c r="C79" s="32"/>
      <c r="D79" s="24"/>
      <c r="E79" s="27"/>
      <c r="F79" s="38"/>
      <c r="G79" s="24"/>
      <c r="H79" s="25"/>
      <c r="I79" s="23"/>
      <c r="J79" s="38"/>
      <c r="K79" s="113"/>
      <c r="L79" s="174"/>
      <c r="M79" s="159"/>
      <c r="N79" s="22"/>
      <c r="O79" s="23"/>
    </row>
    <row r="80" spans="1:15" ht="15">
      <c r="A80" s="77" t="s">
        <v>186</v>
      </c>
      <c r="B80" s="82">
        <f>_xlfn.COMPOUNDVALUE(462)</f>
        <v>2899</v>
      </c>
      <c r="C80" s="83">
        <f>_xlfn.COMPOUNDVALUE(463)</f>
        <v>2878</v>
      </c>
      <c r="D80" s="79">
        <f>_xlfn.COMPOUNDVALUE(464)</f>
        <v>2889</v>
      </c>
      <c r="E80" s="84">
        <f>_xlfn.COMPOUNDVALUE(465)</f>
        <v>2847</v>
      </c>
      <c r="F80" s="82">
        <f>_xlfn.COMPOUNDVALUE(466)</f>
        <v>2859</v>
      </c>
      <c r="G80" s="79">
        <v>2889</v>
      </c>
      <c r="H80" s="81">
        <v>2860</v>
      </c>
      <c r="I80" s="80">
        <v>2906</v>
      </c>
      <c r="J80" s="82">
        <v>2905</v>
      </c>
      <c r="K80" s="81">
        <v>2905</v>
      </c>
      <c r="L80" s="79">
        <v>2869</v>
      </c>
      <c r="M80" s="84">
        <v>2826</v>
      </c>
      <c r="N80" s="78">
        <v>2842</v>
      </c>
      <c r="O80" s="80">
        <v>2816</v>
      </c>
    </row>
    <row r="81" spans="1:15" ht="15" outlineLevel="1">
      <c r="A81" s="4" t="s">
        <v>119</v>
      </c>
      <c r="B81" s="119">
        <f>_xlfn.COMPOUNDVALUE(467)</f>
        <v>0.984822352535357</v>
      </c>
      <c r="C81" s="120">
        <f>_xlfn.COMPOUNDVALUE(468)</f>
        <v>0.985406532314107</v>
      </c>
      <c r="D81" s="117">
        <f>_xlfn.COMPOUNDVALUE(469)</f>
        <v>0.9837313949463482</v>
      </c>
      <c r="E81" s="116">
        <f>_xlfn.COMPOUNDVALUE(470)</f>
        <v>0.9873551106427819</v>
      </c>
      <c r="F81" s="119">
        <f>_xlfn.COMPOUNDVALUE(471)</f>
        <v>0.9839104582021686</v>
      </c>
      <c r="G81" s="117">
        <v>0.9788854274835583</v>
      </c>
      <c r="H81" s="118">
        <v>0.9814685314685314</v>
      </c>
      <c r="I81" s="121">
        <v>0.9824501032346868</v>
      </c>
      <c r="J81" s="119">
        <v>0.9838209982788296</v>
      </c>
      <c r="K81" s="154">
        <v>0.9845094664371773</v>
      </c>
      <c r="L81" s="176">
        <v>0.9829208783548274</v>
      </c>
      <c r="M81" s="177">
        <v>0.9812455767869781</v>
      </c>
      <c r="N81" s="115">
        <v>0.9809992962702322</v>
      </c>
      <c r="O81" s="121">
        <v>0.9801136363636364</v>
      </c>
    </row>
    <row r="82" spans="1:15" ht="15" outlineLevel="1">
      <c r="A82" s="4" t="s">
        <v>150</v>
      </c>
      <c r="B82" s="134">
        <v>0</v>
      </c>
      <c r="C82" s="135">
        <v>0</v>
      </c>
      <c r="D82" s="132">
        <v>0</v>
      </c>
      <c r="E82" s="136">
        <v>0</v>
      </c>
      <c r="F82" s="134">
        <v>0</v>
      </c>
      <c r="G82" s="132">
        <v>0</v>
      </c>
      <c r="H82" s="133">
        <v>0</v>
      </c>
      <c r="I82" s="131">
        <v>0</v>
      </c>
      <c r="J82" s="134">
        <v>0</v>
      </c>
      <c r="K82" s="160">
        <v>0</v>
      </c>
      <c r="L82" s="175">
        <v>0</v>
      </c>
      <c r="M82" s="161">
        <v>0</v>
      </c>
      <c r="N82" s="130">
        <v>0</v>
      </c>
      <c r="O82" s="131">
        <v>0</v>
      </c>
    </row>
    <row r="83" spans="1:15" ht="15" outlineLevel="1">
      <c r="A83" s="4" t="s">
        <v>151</v>
      </c>
      <c r="B83" s="134">
        <v>0</v>
      </c>
      <c r="C83" s="135">
        <v>0</v>
      </c>
      <c r="D83" s="132">
        <v>0</v>
      </c>
      <c r="E83" s="136">
        <v>0</v>
      </c>
      <c r="F83" s="134">
        <v>0</v>
      </c>
      <c r="G83" s="132">
        <v>0</v>
      </c>
      <c r="H83" s="133">
        <v>0</v>
      </c>
      <c r="I83" s="131">
        <v>0</v>
      </c>
      <c r="J83" s="134">
        <v>0</v>
      </c>
      <c r="K83" s="160">
        <v>0</v>
      </c>
      <c r="L83" s="175">
        <v>0</v>
      </c>
      <c r="M83" s="161">
        <v>0</v>
      </c>
      <c r="N83" s="130">
        <v>0</v>
      </c>
      <c r="O83" s="131">
        <v>0</v>
      </c>
    </row>
    <row r="84" spans="1:15" ht="15" outlineLevel="1">
      <c r="A84" s="4" t="s">
        <v>152</v>
      </c>
      <c r="B84" s="119">
        <f>_xlfn.COMPOUNDVALUE(472)</f>
        <v>0.015177647464642981</v>
      </c>
      <c r="C84" s="120">
        <f>_xlfn.COMPOUNDVALUE(473)</f>
        <v>0.014593467685892982</v>
      </c>
      <c r="D84" s="117">
        <f>_xlfn.COMPOUNDVALUE(474)</f>
        <v>0.016268605053651783</v>
      </c>
      <c r="E84" s="116">
        <f>_xlfn.COMPOUNDVALUE(475)</f>
        <v>0.012644889357218124</v>
      </c>
      <c r="F84" s="119">
        <f>_xlfn.COMPOUNDVALUE(476)</f>
        <v>0.01608954179783141</v>
      </c>
      <c r="G84" s="117">
        <v>0.021114572516441676</v>
      </c>
      <c r="H84" s="118">
        <v>0.01853146853146853</v>
      </c>
      <c r="I84" s="121">
        <v>0.017549896765313145</v>
      </c>
      <c r="J84" s="119">
        <v>0.016179001721170396</v>
      </c>
      <c r="K84" s="154">
        <v>0.01549053356282272</v>
      </c>
      <c r="L84" s="176">
        <v>0.017079121645172533</v>
      </c>
      <c r="M84" s="177">
        <v>0.01875442321302194</v>
      </c>
      <c r="N84" s="115">
        <v>0.019000703729767768</v>
      </c>
      <c r="O84" s="121">
        <v>0.019886363636363636</v>
      </c>
    </row>
    <row r="85" spans="1:15" ht="15" outlineLevel="1">
      <c r="A85" s="4" t="s">
        <v>120</v>
      </c>
      <c r="B85" s="134">
        <v>0</v>
      </c>
      <c r="C85" s="135">
        <v>0</v>
      </c>
      <c r="D85" s="132">
        <v>0</v>
      </c>
      <c r="E85" s="136">
        <v>0</v>
      </c>
      <c r="F85" s="134">
        <v>0</v>
      </c>
      <c r="G85" s="132">
        <v>0</v>
      </c>
      <c r="H85" s="133">
        <v>0</v>
      </c>
      <c r="I85" s="131">
        <v>0</v>
      </c>
      <c r="J85" s="134">
        <v>0</v>
      </c>
      <c r="K85" s="160">
        <v>0</v>
      </c>
      <c r="L85" s="175">
        <v>0</v>
      </c>
      <c r="M85" s="161">
        <v>0</v>
      </c>
      <c r="N85" s="130">
        <v>0</v>
      </c>
      <c r="O85" s="131">
        <v>0</v>
      </c>
    </row>
    <row r="86" spans="1:15" ht="3.75" customHeight="1">
      <c r="A86" s="4"/>
      <c r="B86" s="38"/>
      <c r="C86" s="32"/>
      <c r="D86" s="24"/>
      <c r="E86" s="27"/>
      <c r="F86" s="38"/>
      <c r="G86" s="24"/>
      <c r="H86" s="25"/>
      <c r="I86" s="23"/>
      <c r="J86" s="38"/>
      <c r="K86" s="113"/>
      <c r="L86" s="174"/>
      <c r="M86" s="159"/>
      <c r="N86" s="22"/>
      <c r="O86" s="23"/>
    </row>
    <row r="87" spans="1:15" ht="15">
      <c r="A87" s="8" t="s">
        <v>102</v>
      </c>
      <c r="B87" s="37">
        <v>33042</v>
      </c>
      <c r="C87" s="31">
        <v>41797</v>
      </c>
      <c r="D87" s="14">
        <v>46668</v>
      </c>
      <c r="E87" s="50">
        <v>47209</v>
      </c>
      <c r="F87" s="37">
        <v>53896</v>
      </c>
      <c r="G87" s="14">
        <v>55829</v>
      </c>
      <c r="H87" s="20">
        <v>63100</v>
      </c>
      <c r="I87" s="13">
        <v>70021</v>
      </c>
      <c r="J87" s="37">
        <f>_xlfn.COMPOUNDVALUE(341)</f>
        <v>71901</v>
      </c>
      <c r="K87" s="20">
        <f>_xlfn.COMPOUNDVALUE(342)</f>
        <v>74681</v>
      </c>
      <c r="L87" s="14">
        <f>_xlfn.COMPOUNDVALUE(343)</f>
        <v>77322</v>
      </c>
      <c r="M87" s="50">
        <f>_xlfn.COMPOUNDVALUE(344)</f>
        <v>80367</v>
      </c>
      <c r="N87" s="12">
        <f>_xlfn.COMPOUNDVALUE(345)</f>
        <v>81133</v>
      </c>
      <c r="O87" s="13">
        <f>_xlfn.COMPOUNDVALUE(346)</f>
        <v>88457</v>
      </c>
    </row>
    <row r="88" spans="1:15" ht="15">
      <c r="A88" s="122" t="s">
        <v>137</v>
      </c>
      <c r="B88" s="143">
        <f>B87/B73</f>
        <v>0.1726440529186783</v>
      </c>
      <c r="C88" s="144">
        <f aca="true" t="shared" si="6" ref="C88:O88">C87/C73</f>
        <v>0.21979911653344553</v>
      </c>
      <c r="D88" s="141">
        <f t="shared" si="6"/>
        <v>0.24561717446566633</v>
      </c>
      <c r="E88" s="142">
        <f t="shared" si="6"/>
        <v>0.25012980957729763</v>
      </c>
      <c r="F88" s="143">
        <f t="shared" si="6"/>
        <v>0.28558711318355234</v>
      </c>
      <c r="G88" s="141">
        <f t="shared" si="6"/>
        <v>0.29772767269100936</v>
      </c>
      <c r="H88" s="145">
        <f t="shared" si="6"/>
        <v>0.33732492248476426</v>
      </c>
      <c r="I88" s="139">
        <f t="shared" si="6"/>
        <v>0.3710704822469528</v>
      </c>
      <c r="J88" s="143">
        <f t="shared" si="6"/>
        <v>0.3827982750359368</v>
      </c>
      <c r="K88" s="145">
        <f t="shared" si="6"/>
        <v>0.3963538902451969</v>
      </c>
      <c r="L88" s="141">
        <f t="shared" si="6"/>
        <v>0.40805319541928337</v>
      </c>
      <c r="M88" s="142">
        <f t="shared" si="6"/>
        <v>0.4244362292051756</v>
      </c>
      <c r="N88" s="140">
        <f t="shared" si="6"/>
        <v>0.43119383074952566</v>
      </c>
      <c r="O88" s="139">
        <f t="shared" si="6"/>
        <v>0.465827944305184</v>
      </c>
    </row>
    <row r="89" spans="1:15" ht="5.25" customHeight="1">
      <c r="A89" s="4"/>
      <c r="B89" s="38"/>
      <c r="C89" s="32"/>
      <c r="D89" s="24"/>
      <c r="E89" s="27"/>
      <c r="F89" s="38"/>
      <c r="G89" s="24"/>
      <c r="H89" s="25"/>
      <c r="I89" s="23"/>
      <c r="J89" s="38"/>
      <c r="K89" s="25"/>
      <c r="L89" s="24"/>
      <c r="M89" s="27"/>
      <c r="N89" s="22"/>
      <c r="O89" s="23"/>
    </row>
    <row r="90" spans="1:15" ht="15">
      <c r="A90" s="8" t="s">
        <v>11</v>
      </c>
      <c r="B90" s="37">
        <f>_xlfn.COMPOUNDVALUE(497)</f>
        <v>54383999</v>
      </c>
      <c r="C90" s="31">
        <f>_xlfn.COMPOUNDVALUE(498)</f>
        <v>55961702</v>
      </c>
      <c r="D90" s="14">
        <f>_xlfn.COMPOUNDVALUE(499)</f>
        <v>55407792</v>
      </c>
      <c r="E90" s="50">
        <f>_xlfn.COMPOUNDVALUE(500)</f>
        <v>55481801</v>
      </c>
      <c r="F90" s="37">
        <f>_xlfn.COMPOUNDVALUE(501)</f>
        <v>52992211.75039001</v>
      </c>
      <c r="G90" s="14">
        <f>_xlfn.COMPOUNDVALUE(502)</f>
        <v>54366346</v>
      </c>
      <c r="H90" s="20">
        <f>_xlfn.COMPOUNDVALUE(503)</f>
        <v>53529541</v>
      </c>
      <c r="I90" s="13">
        <f>_xlfn.COMPOUNDVALUE(504)</f>
        <v>52176758</v>
      </c>
      <c r="J90" s="37">
        <f>_xlfn.COMPOUNDVALUE(505)</f>
        <v>49208242</v>
      </c>
      <c r="K90" s="20">
        <f>_xlfn.COMPOUNDVALUE(506)</f>
        <v>50357245</v>
      </c>
      <c r="L90" s="14">
        <f>_xlfn.COMPOUNDVALUE(507)</f>
        <v>50507443</v>
      </c>
      <c r="M90" s="50">
        <f>_xlfn.COMPOUNDVALUE(508)</f>
        <v>48363731</v>
      </c>
      <c r="N90" s="12">
        <f>_xlfn.COMPOUNDVALUE(509)</f>
        <v>48298858</v>
      </c>
      <c r="O90" s="13">
        <v>48815036</v>
      </c>
    </row>
    <row r="91" spans="1:15" s="61" customFormat="1" ht="4.5" customHeight="1">
      <c r="A91" s="4"/>
      <c r="B91" s="38"/>
      <c r="C91" s="32"/>
      <c r="D91" s="24"/>
      <c r="E91" s="27"/>
      <c r="F91" s="38"/>
      <c r="G91" s="24"/>
      <c r="H91" s="25"/>
      <c r="I91" s="23"/>
      <c r="J91" s="38"/>
      <c r="K91" s="25"/>
      <c r="L91" s="24"/>
      <c r="M91" s="27"/>
      <c r="N91" s="22"/>
      <c r="O91" s="23"/>
    </row>
    <row r="92" spans="1:15" ht="15">
      <c r="A92" s="8" t="s">
        <v>36</v>
      </c>
      <c r="B92" s="37">
        <f>_xlfn.COMPOUNDVALUE(510)</f>
        <v>184896523.785106</v>
      </c>
      <c r="C92" s="31">
        <f>_xlfn.COMPOUNDVALUE(511)</f>
        <v>186257813.12691298</v>
      </c>
      <c r="D92" s="14">
        <f>_xlfn.COMPOUNDVALUE(512)</f>
        <v>181395819.814679</v>
      </c>
      <c r="E92" s="50">
        <f>_xlfn.COMPOUNDVALUE(513)</f>
        <v>187955722.524024</v>
      </c>
      <c r="F92" s="37">
        <f>_xlfn.COMPOUNDVALUE(514)</f>
        <v>183544643.9124419</v>
      </c>
      <c r="G92" s="14">
        <f>_xlfn.COMPOUNDVALUE(515)</f>
        <v>184992342</v>
      </c>
      <c r="H92" s="20">
        <f>_xlfn.COMPOUNDVALUE(516)</f>
        <v>179065825</v>
      </c>
      <c r="I92" s="13">
        <f>_xlfn.COMPOUNDVALUE(517)</f>
        <v>178181858.2</v>
      </c>
      <c r="J92" s="37">
        <f>_xlfn.COMPOUNDVALUE(518)</f>
        <v>171300038.733322</v>
      </c>
      <c r="K92" s="20">
        <f>_xlfn.COMPOUNDVALUE(519)</f>
        <v>170215171.916655</v>
      </c>
      <c r="L92" s="14">
        <f>_xlfn.COMPOUNDVALUE(520)</f>
        <v>163310562.58332598</v>
      </c>
      <c r="M92" s="50">
        <f>_xlfn.COMPOUNDVALUE(521)</f>
        <v>166341350.416663</v>
      </c>
      <c r="N92" s="12">
        <f>_xlfn.COMPOUNDVALUE(522)</f>
        <v>169218858.523323</v>
      </c>
      <c r="O92" s="13">
        <v>165496181.24696</v>
      </c>
    </row>
    <row r="93" spans="1:15" ht="4.5" customHeight="1">
      <c r="A93" s="4"/>
      <c r="B93" s="38"/>
      <c r="C93" s="32"/>
      <c r="D93" s="24"/>
      <c r="E93" s="27"/>
      <c r="F93" s="38"/>
      <c r="G93" s="24"/>
      <c r="H93" s="25"/>
      <c r="I93" s="23"/>
      <c r="J93" s="38"/>
      <c r="K93" s="25"/>
      <c r="L93" s="24"/>
      <c r="M93" s="27"/>
      <c r="N93" s="22"/>
      <c r="O93" s="23"/>
    </row>
    <row r="94" spans="1:15" ht="15" customHeight="1">
      <c r="A94" s="8" t="s">
        <v>13</v>
      </c>
      <c r="B94" s="235">
        <f>_xlfn.COMPOUNDVALUE(537)</f>
        <v>42.001175247048266</v>
      </c>
      <c r="C94" s="236">
        <f>_xlfn.COMPOUNDVALUE(538)</f>
        <v>47.51911006918289</v>
      </c>
      <c r="D94" s="237">
        <f>_xlfn.COMPOUNDVALUE(539)</f>
        <v>50.348071575336014</v>
      </c>
      <c r="E94" s="238">
        <f>_xlfn.COMPOUNDVALUE(540)</f>
        <v>47.41791633346154</v>
      </c>
      <c r="F94" s="235">
        <f>_xlfn.COMPOUNDVALUE(541)</f>
        <v>46.061085243524374</v>
      </c>
      <c r="G94" s="237">
        <f>_xlfn.COMPOUNDVALUE(542)</f>
        <v>45.95827353556807</v>
      </c>
      <c r="H94" s="239">
        <f>_xlfn.COMPOUNDVALUE(543)</f>
        <v>45.33890502140989</v>
      </c>
      <c r="I94" s="240">
        <f>_xlfn.COMPOUNDVALUE(544)</f>
        <v>43.70354130635393</v>
      </c>
      <c r="J94" s="235">
        <f>_xlfn.COMPOUNDVALUE(545)</f>
        <v>42.368139630292994</v>
      </c>
      <c r="K94" s="239">
        <f>_xlfn.COMPOUNDVALUE(546)</f>
        <v>40.496178266325025</v>
      </c>
      <c r="L94" s="237">
        <f>_xlfn.COMPOUNDVALUE(547)</f>
        <v>43.81008708233866</v>
      </c>
      <c r="M94" s="238">
        <f>_xlfn.COMPOUNDVALUE(548)</f>
        <v>42.40567567021398</v>
      </c>
      <c r="N94" s="241">
        <f>_xlfn.COMPOUNDVALUE(549)</f>
        <v>43.0218370086199</v>
      </c>
      <c r="O94" s="240">
        <v>43</v>
      </c>
    </row>
    <row r="95" spans="1:15" s="234" customFormat="1" ht="3.75" customHeight="1">
      <c r="A95" s="226"/>
      <c r="B95" s="227"/>
      <c r="C95" s="228"/>
      <c r="D95" s="229"/>
      <c r="E95" s="230"/>
      <c r="F95" s="227"/>
      <c r="G95" s="229"/>
      <c r="H95" s="231"/>
      <c r="I95" s="232"/>
      <c r="J95" s="227"/>
      <c r="K95" s="231"/>
      <c r="L95" s="229"/>
      <c r="M95" s="230"/>
      <c r="N95" s="233"/>
      <c r="O95" s="232"/>
    </row>
    <row r="96" spans="1:15" ht="15">
      <c r="A96" s="8" t="s">
        <v>39</v>
      </c>
      <c r="B96" s="37">
        <f>_xlfn.COMPOUNDVALUE(523)</f>
        <v>1019</v>
      </c>
      <c r="C96" s="31">
        <f>_xlfn.COMPOUNDVALUE(524)</f>
        <v>979</v>
      </c>
      <c r="D96" s="14">
        <f>_xlfn.COMPOUNDVALUE(525)</f>
        <v>903</v>
      </c>
      <c r="E96" s="50">
        <f>_xlfn.COMPOUNDVALUE(526)</f>
        <v>886</v>
      </c>
      <c r="F96" s="37">
        <f>_xlfn.COMPOUNDVALUE(527)</f>
        <v>1096</v>
      </c>
      <c r="G96" s="14">
        <f>_xlfn.COMPOUNDVALUE(528)</f>
        <v>948</v>
      </c>
      <c r="H96" s="20">
        <f>_xlfn.COMPOUNDVALUE(529)</f>
        <v>1058</v>
      </c>
      <c r="I96" s="13">
        <f>_xlfn.COMPOUNDVALUE(530)</f>
        <v>922</v>
      </c>
      <c r="J96" s="37">
        <f>_xlfn.COMPOUNDVALUE(531)</f>
        <v>740</v>
      </c>
      <c r="K96" s="20">
        <f>_xlfn.COMPOUNDVALUE(532)</f>
        <v>729</v>
      </c>
      <c r="L96" s="14">
        <f>_xlfn.COMPOUNDVALUE(533)</f>
        <v>778</v>
      </c>
      <c r="M96" s="50">
        <f>_xlfn.COMPOUNDVALUE(534)</f>
        <v>923</v>
      </c>
      <c r="N96" s="12">
        <f>_xlfn.COMPOUNDVALUE(535)</f>
        <v>1107</v>
      </c>
      <c r="O96" s="13">
        <f>_xlfn.COMPOUNDVALUE(536)</f>
        <v>693</v>
      </c>
    </row>
    <row r="97" spans="1:15" s="61" customFormat="1" ht="4.5" customHeight="1">
      <c r="A97" s="4"/>
      <c r="B97" s="38"/>
      <c r="C97" s="32"/>
      <c r="D97" s="24"/>
      <c r="E97" s="27"/>
      <c r="F97" s="38"/>
      <c r="G97" s="24"/>
      <c r="H97" s="25"/>
      <c r="I97" s="23"/>
      <c r="J97" s="38"/>
      <c r="K97" s="184"/>
      <c r="L97" s="182"/>
      <c r="M97" s="183"/>
      <c r="N97" s="22"/>
      <c r="O97" s="23"/>
    </row>
    <row r="98" spans="1:15" ht="15">
      <c r="A98" s="303" t="s">
        <v>7</v>
      </c>
      <c r="B98" s="304"/>
      <c r="C98" s="304"/>
      <c r="D98" s="304"/>
      <c r="E98" s="304"/>
      <c r="F98" s="304"/>
      <c r="G98" s="304"/>
      <c r="H98" s="304"/>
      <c r="I98" s="304"/>
      <c r="J98" s="304"/>
      <c r="K98" s="304"/>
      <c r="L98" s="304"/>
      <c r="M98" s="304"/>
      <c r="N98" s="304"/>
      <c r="O98" s="305"/>
    </row>
    <row r="99" spans="1:15" ht="5.25" customHeight="1">
      <c r="A99" s="9"/>
      <c r="B99" s="39"/>
      <c r="C99" s="33"/>
      <c r="D99" s="17"/>
      <c r="E99" s="51"/>
      <c r="F99" s="39"/>
      <c r="G99" s="17"/>
      <c r="H99" s="21"/>
      <c r="I99" s="16"/>
      <c r="J99" s="39"/>
      <c r="K99" s="113"/>
      <c r="L99" s="174"/>
      <c r="M99" s="159"/>
      <c r="N99" s="15"/>
      <c r="O99" s="16"/>
    </row>
    <row r="100" spans="1:15" ht="15">
      <c r="A100" s="8" t="s">
        <v>125</v>
      </c>
      <c r="B100" s="40">
        <f aca="true" t="shared" si="7" ref="B100:N100">B101+B103</f>
        <v>102549</v>
      </c>
      <c r="C100" s="34">
        <f t="shared" si="7"/>
        <v>106888</v>
      </c>
      <c r="D100" s="53">
        <f t="shared" si="7"/>
        <v>108461</v>
      </c>
      <c r="E100" s="52">
        <f t="shared" si="7"/>
        <v>110319</v>
      </c>
      <c r="F100" s="40">
        <f t="shared" si="7"/>
        <v>113648</v>
      </c>
      <c r="G100" s="53">
        <f t="shared" si="7"/>
        <v>117292</v>
      </c>
      <c r="H100" s="53">
        <f t="shared" si="7"/>
        <v>120342</v>
      </c>
      <c r="I100" s="26">
        <f t="shared" si="7"/>
        <v>121654</v>
      </c>
      <c r="J100" s="40">
        <f t="shared" si="7"/>
        <v>123663</v>
      </c>
      <c r="K100" s="138">
        <f t="shared" si="7"/>
        <v>126041</v>
      </c>
      <c r="L100" s="53">
        <f t="shared" si="7"/>
        <v>128134</v>
      </c>
      <c r="M100" s="52">
        <f t="shared" si="7"/>
        <v>129320</v>
      </c>
      <c r="N100" s="190">
        <f t="shared" si="7"/>
        <v>130887</v>
      </c>
      <c r="O100" s="26">
        <f>O101+O103</f>
        <v>134007</v>
      </c>
    </row>
    <row r="101" spans="1:15" ht="15">
      <c r="A101" s="77" t="s">
        <v>22</v>
      </c>
      <c r="B101" s="82">
        <f>_xlfn.COMPOUNDVALUE(97)</f>
        <v>1049</v>
      </c>
      <c r="C101" s="83">
        <f>_xlfn.COMPOUNDVALUE(98)</f>
        <v>851</v>
      </c>
      <c r="D101" s="79">
        <f>_xlfn.COMPOUNDVALUE(99)</f>
        <v>591</v>
      </c>
      <c r="E101" s="84">
        <f>_xlfn.COMPOUNDVALUE(100)</f>
        <v>476</v>
      </c>
      <c r="F101" s="82">
        <f>_xlfn.COMPOUNDVALUE(101)</f>
        <v>273</v>
      </c>
      <c r="G101" s="79">
        <v>203</v>
      </c>
      <c r="H101" s="81">
        <v>150</v>
      </c>
      <c r="I101" s="80">
        <v>0</v>
      </c>
      <c r="J101" s="82">
        <v>0</v>
      </c>
      <c r="K101" s="81">
        <v>0</v>
      </c>
      <c r="L101" s="79">
        <v>0</v>
      </c>
      <c r="M101" s="84">
        <v>0</v>
      </c>
      <c r="N101" s="78">
        <v>0</v>
      </c>
      <c r="O101" s="80">
        <v>0</v>
      </c>
    </row>
    <row r="102" spans="1:15" ht="3" customHeight="1">
      <c r="A102" s="4"/>
      <c r="B102" s="38"/>
      <c r="C102" s="32"/>
      <c r="D102" s="24"/>
      <c r="E102" s="27"/>
      <c r="F102" s="38"/>
      <c r="G102" s="24"/>
      <c r="H102" s="25"/>
      <c r="I102" s="23"/>
      <c r="J102" s="38"/>
      <c r="K102" s="25"/>
      <c r="L102" s="24"/>
      <c r="M102" s="27"/>
      <c r="N102" s="22"/>
      <c r="O102" s="23"/>
    </row>
    <row r="103" spans="1:15" ht="15">
      <c r="A103" s="77" t="s">
        <v>130</v>
      </c>
      <c r="B103" s="82">
        <f>B104+B113+B122</f>
        <v>101500</v>
      </c>
      <c r="C103" s="83">
        <f aca="true" t="shared" si="8" ref="C103:O103">C104+C113+C122</f>
        <v>106037</v>
      </c>
      <c r="D103" s="79">
        <f t="shared" si="8"/>
        <v>107870</v>
      </c>
      <c r="E103" s="84">
        <f t="shared" si="8"/>
        <v>109843</v>
      </c>
      <c r="F103" s="82">
        <f t="shared" si="8"/>
        <v>113375</v>
      </c>
      <c r="G103" s="79">
        <f t="shared" si="8"/>
        <v>117089</v>
      </c>
      <c r="H103" s="79">
        <f t="shared" si="8"/>
        <v>120192</v>
      </c>
      <c r="I103" s="80">
        <f t="shared" si="8"/>
        <v>121654</v>
      </c>
      <c r="J103" s="82">
        <f t="shared" si="8"/>
        <v>123663</v>
      </c>
      <c r="K103" s="81">
        <f t="shared" si="8"/>
        <v>126041</v>
      </c>
      <c r="L103" s="79">
        <f t="shared" si="8"/>
        <v>128134</v>
      </c>
      <c r="M103" s="84">
        <f t="shared" si="8"/>
        <v>129320</v>
      </c>
      <c r="N103" s="78">
        <f t="shared" si="8"/>
        <v>130887</v>
      </c>
      <c r="O103" s="80">
        <f t="shared" si="8"/>
        <v>134007</v>
      </c>
    </row>
    <row r="104" spans="1:15" ht="15">
      <c r="A104" s="122" t="s">
        <v>24</v>
      </c>
      <c r="B104" s="127">
        <f>_xlfn.COMPOUNDVALUE(1)</f>
        <v>50972</v>
      </c>
      <c r="C104" s="128">
        <f>_xlfn.COMPOUNDVALUE(2)</f>
        <v>53576</v>
      </c>
      <c r="D104" s="125">
        <f>_xlfn.COMPOUNDVALUE(3)</f>
        <v>54524</v>
      </c>
      <c r="E104" s="129">
        <f>_xlfn.COMPOUNDVALUE(4)</f>
        <v>54380</v>
      </c>
      <c r="F104" s="127">
        <f>_xlfn.COMPOUNDVALUE(5)</f>
        <v>54498</v>
      </c>
      <c r="G104" s="125">
        <f>_xlfn.COMPOUNDVALUE(6)</f>
        <v>54223</v>
      </c>
      <c r="H104" s="126">
        <f>_xlfn.COMPOUNDVALUE(7)</f>
        <v>54056</v>
      </c>
      <c r="I104" s="124">
        <f>_xlfn.COMPOUNDVALUE(8)</f>
        <v>53600</v>
      </c>
      <c r="J104" s="127">
        <f>_xlfn.COMPOUNDVALUE(9)</f>
        <v>54184</v>
      </c>
      <c r="K104" s="126">
        <f>_xlfn.COMPOUNDVALUE(10)</f>
        <v>55567</v>
      </c>
      <c r="L104" s="125">
        <f>_xlfn.COMPOUNDVALUE(11)</f>
        <v>57116</v>
      </c>
      <c r="M104" s="129">
        <f>_xlfn.COMPOUNDVALUE(12)</f>
        <v>59084</v>
      </c>
      <c r="N104" s="123">
        <f>_xlfn.COMPOUNDVALUE(13)</f>
        <v>60489</v>
      </c>
      <c r="O104" s="124">
        <f>_xlfn.COMPOUNDVALUE(14)</f>
        <v>62581</v>
      </c>
    </row>
    <row r="105" spans="1:15" ht="15" outlineLevel="1">
      <c r="A105" s="4" t="s">
        <v>172</v>
      </c>
      <c r="B105" s="134">
        <v>0</v>
      </c>
      <c r="C105" s="135">
        <v>0</v>
      </c>
      <c r="D105" s="132">
        <v>0</v>
      </c>
      <c r="E105" s="136">
        <v>0</v>
      </c>
      <c r="F105" s="134">
        <v>0</v>
      </c>
      <c r="G105" s="132">
        <v>0</v>
      </c>
      <c r="H105" s="133">
        <v>0</v>
      </c>
      <c r="I105" s="131">
        <v>0</v>
      </c>
      <c r="J105" s="134">
        <v>0</v>
      </c>
      <c r="K105" s="133">
        <v>0</v>
      </c>
      <c r="L105" s="132">
        <v>0</v>
      </c>
      <c r="M105" s="136">
        <v>0</v>
      </c>
      <c r="N105" s="130">
        <v>0</v>
      </c>
      <c r="O105" s="131">
        <v>0</v>
      </c>
    </row>
    <row r="106" spans="1:15" ht="15" outlineLevel="1">
      <c r="A106" s="4" t="s">
        <v>173</v>
      </c>
      <c r="B106" s="134">
        <v>0</v>
      </c>
      <c r="C106" s="135">
        <v>0</v>
      </c>
      <c r="D106" s="132">
        <v>0</v>
      </c>
      <c r="E106" s="136">
        <v>0</v>
      </c>
      <c r="F106" s="134">
        <v>0</v>
      </c>
      <c r="G106" s="132">
        <v>0</v>
      </c>
      <c r="H106" s="133">
        <v>0</v>
      </c>
      <c r="I106" s="131">
        <v>0</v>
      </c>
      <c r="J106" s="134">
        <v>0</v>
      </c>
      <c r="K106" s="133">
        <v>0</v>
      </c>
      <c r="L106" s="132">
        <v>0</v>
      </c>
      <c r="M106" s="136">
        <v>0</v>
      </c>
      <c r="N106" s="130">
        <v>0</v>
      </c>
      <c r="O106" s="131">
        <v>0</v>
      </c>
    </row>
    <row r="107" spans="1:15" ht="15" outlineLevel="1">
      <c r="A107" s="4" t="s">
        <v>174</v>
      </c>
      <c r="B107" s="119">
        <v>1</v>
      </c>
      <c r="C107" s="120">
        <v>1</v>
      </c>
      <c r="D107" s="117">
        <v>1</v>
      </c>
      <c r="E107" s="116">
        <v>1</v>
      </c>
      <c r="F107" s="119">
        <v>1</v>
      </c>
      <c r="G107" s="117">
        <v>1</v>
      </c>
      <c r="H107" s="118">
        <v>1</v>
      </c>
      <c r="I107" s="121">
        <v>1</v>
      </c>
      <c r="J107" s="119">
        <v>1</v>
      </c>
      <c r="K107" s="118">
        <v>1</v>
      </c>
      <c r="L107" s="117">
        <v>1</v>
      </c>
      <c r="M107" s="116">
        <v>1</v>
      </c>
      <c r="N107" s="115">
        <v>1</v>
      </c>
      <c r="O107" s="121">
        <v>1</v>
      </c>
    </row>
    <row r="108" spans="1:15" ht="15" outlineLevel="1">
      <c r="A108" s="4" t="s">
        <v>175</v>
      </c>
      <c r="B108" s="134">
        <v>0</v>
      </c>
      <c r="C108" s="135">
        <v>0</v>
      </c>
      <c r="D108" s="132">
        <v>0</v>
      </c>
      <c r="E108" s="136">
        <v>0</v>
      </c>
      <c r="F108" s="134">
        <v>0</v>
      </c>
      <c r="G108" s="132">
        <v>0</v>
      </c>
      <c r="H108" s="133">
        <v>0</v>
      </c>
      <c r="I108" s="131">
        <v>0</v>
      </c>
      <c r="J108" s="134">
        <v>0</v>
      </c>
      <c r="K108" s="133">
        <v>0</v>
      </c>
      <c r="L108" s="132">
        <v>0</v>
      </c>
      <c r="M108" s="136">
        <v>0</v>
      </c>
      <c r="N108" s="130">
        <v>0</v>
      </c>
      <c r="O108" s="131">
        <v>0</v>
      </c>
    </row>
    <row r="109" spans="1:15" ht="15" outlineLevel="1">
      <c r="A109" s="4" t="s">
        <v>176</v>
      </c>
      <c r="B109" s="134">
        <v>0</v>
      </c>
      <c r="C109" s="135">
        <v>0</v>
      </c>
      <c r="D109" s="132">
        <v>0</v>
      </c>
      <c r="E109" s="136">
        <v>0</v>
      </c>
      <c r="F109" s="134">
        <v>0</v>
      </c>
      <c r="G109" s="132">
        <v>0</v>
      </c>
      <c r="H109" s="133">
        <v>0</v>
      </c>
      <c r="I109" s="131">
        <v>0</v>
      </c>
      <c r="J109" s="134">
        <v>0</v>
      </c>
      <c r="K109" s="133">
        <v>0</v>
      </c>
      <c r="L109" s="132">
        <v>0</v>
      </c>
      <c r="M109" s="136">
        <v>0</v>
      </c>
      <c r="N109" s="130">
        <v>0</v>
      </c>
      <c r="O109" s="131">
        <v>0</v>
      </c>
    </row>
    <row r="110" spans="1:15" ht="15" outlineLevel="1">
      <c r="A110" s="4" t="s">
        <v>177</v>
      </c>
      <c r="B110" s="134">
        <v>0</v>
      </c>
      <c r="C110" s="135">
        <v>0</v>
      </c>
      <c r="D110" s="132">
        <v>0</v>
      </c>
      <c r="E110" s="136">
        <v>0</v>
      </c>
      <c r="F110" s="134">
        <v>0</v>
      </c>
      <c r="G110" s="132">
        <v>0</v>
      </c>
      <c r="H110" s="133">
        <v>0</v>
      </c>
      <c r="I110" s="131">
        <v>0</v>
      </c>
      <c r="J110" s="134">
        <v>0</v>
      </c>
      <c r="K110" s="133">
        <v>0</v>
      </c>
      <c r="L110" s="132">
        <v>0</v>
      </c>
      <c r="M110" s="136">
        <v>0</v>
      </c>
      <c r="N110" s="130">
        <v>0</v>
      </c>
      <c r="O110" s="131">
        <v>0</v>
      </c>
    </row>
    <row r="111" spans="1:15" ht="15.75" customHeight="1" outlineLevel="1">
      <c r="A111" s="4" t="s">
        <v>178</v>
      </c>
      <c r="B111" s="134">
        <v>0</v>
      </c>
      <c r="C111" s="135">
        <v>0</v>
      </c>
      <c r="D111" s="132">
        <v>0</v>
      </c>
      <c r="E111" s="136">
        <v>0</v>
      </c>
      <c r="F111" s="134">
        <v>0</v>
      </c>
      <c r="G111" s="132">
        <v>0</v>
      </c>
      <c r="H111" s="133">
        <v>0</v>
      </c>
      <c r="I111" s="131">
        <v>0</v>
      </c>
      <c r="J111" s="134">
        <v>0</v>
      </c>
      <c r="K111" s="186">
        <v>0</v>
      </c>
      <c r="L111" s="178">
        <v>0</v>
      </c>
      <c r="M111" s="179">
        <v>0</v>
      </c>
      <c r="N111" s="130">
        <v>0</v>
      </c>
      <c r="O111" s="131">
        <v>0</v>
      </c>
    </row>
    <row r="112" spans="1:15" ht="3.75" customHeight="1" collapsed="1">
      <c r="A112" s="163"/>
      <c r="B112" s="206"/>
      <c r="C112" s="207"/>
      <c r="D112" s="204"/>
      <c r="E112" s="208"/>
      <c r="F112" s="206"/>
      <c r="G112" s="204"/>
      <c r="H112" s="205"/>
      <c r="I112" s="203"/>
      <c r="J112" s="206"/>
      <c r="K112" s="201"/>
      <c r="L112" s="200"/>
      <c r="M112" s="209"/>
      <c r="N112" s="202"/>
      <c r="O112" s="203"/>
    </row>
    <row r="113" spans="1:15" ht="15">
      <c r="A113" s="122" t="s">
        <v>31</v>
      </c>
      <c r="B113" s="127">
        <f>_xlfn.COMPOUNDVALUE(70)</f>
        <v>47214</v>
      </c>
      <c r="C113" s="128">
        <f>_xlfn.COMPOUNDVALUE(71)</f>
        <v>48921</v>
      </c>
      <c r="D113" s="125">
        <f>_xlfn.COMPOUNDVALUE(72)</f>
        <v>49732</v>
      </c>
      <c r="E113" s="129">
        <f>_xlfn.COMPOUNDVALUE(73)</f>
        <v>51650</v>
      </c>
      <c r="F113" s="127">
        <f>_xlfn.COMPOUNDVALUE(74)</f>
        <v>54908</v>
      </c>
      <c r="G113" s="125">
        <f>_xlfn.COMPOUNDVALUE(75)</f>
        <v>58787</v>
      </c>
      <c r="H113" s="126">
        <f>_xlfn.COMPOUNDVALUE(76)</f>
        <v>61727</v>
      </c>
      <c r="I113" s="124">
        <f>_xlfn.COMPOUNDVALUE(77)</f>
        <v>63394</v>
      </c>
      <c r="J113" s="127">
        <f>_xlfn.COMPOUNDVALUE(78)</f>
        <v>64580</v>
      </c>
      <c r="K113" s="126">
        <f>_xlfn.COMPOUNDVALUE(79)</f>
        <v>65809</v>
      </c>
      <c r="L113" s="125">
        <f>_xlfn.COMPOUNDVALUE(80)</f>
        <v>66586</v>
      </c>
      <c r="M113" s="129">
        <f>_xlfn.COMPOUNDVALUE(81)</f>
        <v>66084</v>
      </c>
      <c r="N113" s="123">
        <f>_xlfn.COMPOUNDVALUE(82)</f>
        <v>66236</v>
      </c>
      <c r="O113" s="124">
        <v>67253</v>
      </c>
    </row>
    <row r="114" spans="1:15" ht="15" outlineLevel="1">
      <c r="A114" s="4" t="s">
        <v>121</v>
      </c>
      <c r="B114" s="119">
        <f>_xlfn.COMPOUNDVALUE(43)</f>
        <v>0.9242597534629559</v>
      </c>
      <c r="C114" s="120">
        <f>_xlfn.COMPOUNDVALUE(44)</f>
        <v>0.9342204779133705</v>
      </c>
      <c r="D114" s="117">
        <f>_xlfn.COMPOUNDVALUE(45)</f>
        <v>0.9511984235502292</v>
      </c>
      <c r="E114" s="116">
        <f>_xlfn.COMPOUNDVALUE(46)</f>
        <v>0.9563407550822846</v>
      </c>
      <c r="F114" s="119">
        <f>_xlfn.COMPOUNDVALUE(47)</f>
        <v>0.9608071683543382</v>
      </c>
      <c r="G114" s="117">
        <f>_xlfn.COMPOUNDVALUE(48)</f>
        <v>0.9653494820283396</v>
      </c>
      <c r="H114" s="118">
        <f>_xlfn.COMPOUNDVALUE(49)</f>
        <v>0.9701589255917183</v>
      </c>
      <c r="I114" s="121">
        <f>_xlfn.COMPOUNDVALUE(50)</f>
        <v>0.992743792787961</v>
      </c>
      <c r="J114" s="119">
        <f>_xlfn.COMPOUNDVALUE(51)</f>
        <v>0.9928770517187984</v>
      </c>
      <c r="K114" s="154">
        <f>_xlfn.COMPOUNDVALUE(52)</f>
        <v>0.9932228114695558</v>
      </c>
      <c r="L114" s="176">
        <f>_xlfn.COMPOUNDVALUE(53)</f>
        <v>0.9936473132490313</v>
      </c>
      <c r="M114" s="177">
        <f>_xlfn.COMPOUNDVALUE(54)</f>
        <v>0.9944918588463169</v>
      </c>
      <c r="N114" s="115">
        <f>_xlfn.COMPOUNDVALUE(55)</f>
        <v>0.9944592064738209</v>
      </c>
      <c r="O114" s="121">
        <v>0.9948</v>
      </c>
    </row>
    <row r="115" spans="1:15" ht="15" outlineLevel="1">
      <c r="A115" s="4" t="s">
        <v>122</v>
      </c>
      <c r="B115" s="119">
        <f>_xlfn.COMPOUNDVALUE(56)</f>
        <v>0.0014614309315033676</v>
      </c>
      <c r="C115" s="120">
        <f>_xlfn.COMPOUNDVALUE(57)</f>
        <v>0.001267349400053147</v>
      </c>
      <c r="D115" s="117">
        <f>_xlfn.COMPOUNDVALUE(58)</f>
        <v>0.0012466822166814124</v>
      </c>
      <c r="E115" s="116">
        <f>_xlfn.COMPOUNDVALUE(59)</f>
        <v>0.0012584704743465634</v>
      </c>
      <c r="F115" s="119">
        <f>_xlfn.COMPOUNDVALUE(60)</f>
        <v>0.0011837983536096743</v>
      </c>
      <c r="G115" s="117">
        <f>_xlfn.COMPOUNDVALUE(61)</f>
        <v>0.00183714086447684</v>
      </c>
      <c r="H115" s="118">
        <f>_xlfn.COMPOUNDVALUE(62)</f>
        <v>0.0018306413724950184</v>
      </c>
      <c r="I115" s="121">
        <f>_xlfn.COMPOUNDVALUE(63)</f>
        <v>0.0016720825314698552</v>
      </c>
      <c r="J115" s="119">
        <f>_xlfn.COMPOUNDVALUE(64)</f>
        <v>0.001610405698358625</v>
      </c>
      <c r="K115" s="154">
        <f>_xlfn.COMPOUNDVALUE(65)</f>
        <v>0.0015803309577717332</v>
      </c>
      <c r="L115" s="176">
        <f>_xlfn.COMPOUNDVALUE(66)</f>
        <v>0.0016219625747154057</v>
      </c>
      <c r="M115" s="177">
        <v>0.0004085709097512257</v>
      </c>
      <c r="N115" s="115">
        <v>0.00040763331119028927</v>
      </c>
      <c r="O115" s="121">
        <v>0.0004</v>
      </c>
    </row>
    <row r="116" spans="1:15" ht="15" outlineLevel="1">
      <c r="A116" s="4" t="s">
        <v>140</v>
      </c>
      <c r="B116" s="134">
        <v>0</v>
      </c>
      <c r="C116" s="135">
        <v>0</v>
      </c>
      <c r="D116" s="132">
        <v>0</v>
      </c>
      <c r="E116" s="136">
        <v>0</v>
      </c>
      <c r="F116" s="134">
        <v>0</v>
      </c>
      <c r="G116" s="132">
        <v>0</v>
      </c>
      <c r="H116" s="133">
        <v>0</v>
      </c>
      <c r="I116" s="131">
        <v>0</v>
      </c>
      <c r="J116" s="134">
        <v>0</v>
      </c>
      <c r="K116" s="160">
        <v>0</v>
      </c>
      <c r="L116" s="175">
        <v>0</v>
      </c>
      <c r="M116" s="161">
        <v>0</v>
      </c>
      <c r="N116" s="130">
        <v>0</v>
      </c>
      <c r="O116" s="131">
        <v>0</v>
      </c>
    </row>
    <row r="117" spans="1:15" ht="15" outlineLevel="1">
      <c r="A117" s="4" t="s">
        <v>153</v>
      </c>
      <c r="B117" s="134">
        <v>0</v>
      </c>
      <c r="C117" s="135">
        <v>0</v>
      </c>
      <c r="D117" s="132">
        <v>0</v>
      </c>
      <c r="E117" s="136">
        <v>0</v>
      </c>
      <c r="F117" s="134">
        <v>0</v>
      </c>
      <c r="G117" s="132">
        <v>0</v>
      </c>
      <c r="H117" s="133">
        <v>0</v>
      </c>
      <c r="I117" s="131">
        <v>0</v>
      </c>
      <c r="J117" s="119">
        <f>_xlfn.COMPOUNDVALUE(67)</f>
        <v>0.0011768349334159182</v>
      </c>
      <c r="K117" s="154">
        <f>_xlfn.COMPOUNDVALUE(68)</f>
        <v>0.0010788797884787795</v>
      </c>
      <c r="L117" s="176">
        <f>_xlfn.COMPOUNDVALUE(69)</f>
        <v>0.001036253867179287</v>
      </c>
      <c r="M117" s="177">
        <f>_xlfn.COMPOUNDVALUE(550)</f>
        <v>0.0010289934023364202</v>
      </c>
      <c r="N117" s="115">
        <f>_xlfn.COMPOUNDVALUE(551)</f>
        <v>0.0010417295730418504</v>
      </c>
      <c r="O117" s="121">
        <f>_xlfn.COMPOUNDVALUE(552)</f>
        <v>0.0009371374170707762</v>
      </c>
    </row>
    <row r="118" spans="1:15" ht="15" outlineLevel="1">
      <c r="A118" s="4" t="s">
        <v>170</v>
      </c>
      <c r="B118" s="134">
        <v>0</v>
      </c>
      <c r="C118" s="135">
        <v>0</v>
      </c>
      <c r="D118" s="132">
        <v>0</v>
      </c>
      <c r="E118" s="136">
        <v>0</v>
      </c>
      <c r="F118" s="134">
        <v>0</v>
      </c>
      <c r="G118" s="132">
        <v>0</v>
      </c>
      <c r="H118" s="133">
        <v>0</v>
      </c>
      <c r="I118" s="131">
        <v>0</v>
      </c>
      <c r="J118" s="134">
        <v>0</v>
      </c>
      <c r="K118" s="160">
        <v>0</v>
      </c>
      <c r="L118" s="175">
        <v>0</v>
      </c>
      <c r="M118" s="161">
        <v>0</v>
      </c>
      <c r="N118" s="130">
        <v>0</v>
      </c>
      <c r="O118" s="131">
        <v>0</v>
      </c>
    </row>
    <row r="119" spans="1:15" ht="15" outlineLevel="1">
      <c r="A119" s="4" t="s">
        <v>171</v>
      </c>
      <c r="B119" s="134">
        <v>0</v>
      </c>
      <c r="C119" s="135">
        <v>0</v>
      </c>
      <c r="D119" s="132">
        <v>0</v>
      </c>
      <c r="E119" s="136">
        <v>0</v>
      </c>
      <c r="F119" s="134">
        <v>0</v>
      </c>
      <c r="G119" s="132">
        <v>0</v>
      </c>
      <c r="H119" s="133">
        <v>0</v>
      </c>
      <c r="I119" s="131">
        <v>0</v>
      </c>
      <c r="J119" s="134">
        <v>0</v>
      </c>
      <c r="K119" s="160">
        <v>0</v>
      </c>
      <c r="L119" s="175">
        <v>0</v>
      </c>
      <c r="M119" s="161">
        <v>0</v>
      </c>
      <c r="N119" s="130">
        <v>0</v>
      </c>
      <c r="O119" s="131">
        <v>0</v>
      </c>
    </row>
    <row r="120" spans="1:15" ht="15" outlineLevel="1">
      <c r="A120" s="4" t="s">
        <v>123</v>
      </c>
      <c r="B120" s="119">
        <v>0.07427881560554073</v>
      </c>
      <c r="C120" s="120">
        <v>0.06451217268657639</v>
      </c>
      <c r="D120" s="117">
        <v>0.04755489423308934</v>
      </c>
      <c r="E120" s="116">
        <v>0.04240077444336887</v>
      </c>
      <c r="F120" s="119">
        <v>0.038009033292052075</v>
      </c>
      <c r="G120" s="117">
        <v>0.03281337710718357</v>
      </c>
      <c r="H120" s="118">
        <v>0.028010433035786653</v>
      </c>
      <c r="I120" s="121">
        <v>0.005584124680569125</v>
      </c>
      <c r="J120" s="119">
        <v>0.004335707649427145</v>
      </c>
      <c r="K120" s="154">
        <v>0.004117977784193649</v>
      </c>
      <c r="L120" s="176">
        <v>0.003694470309073994</v>
      </c>
      <c r="M120" s="177">
        <v>0.004070576841595508</v>
      </c>
      <c r="N120" s="115">
        <v>0.004091430641946947</v>
      </c>
      <c r="O120" s="121">
        <v>0.0038229256537648526</v>
      </c>
    </row>
    <row r="121" spans="1:15" ht="3.75" customHeight="1" collapsed="1">
      <c r="A121" s="4"/>
      <c r="B121" s="119"/>
      <c r="C121" s="120"/>
      <c r="D121" s="117"/>
      <c r="E121" s="116"/>
      <c r="F121" s="119"/>
      <c r="G121" s="117"/>
      <c r="H121" s="118"/>
      <c r="I121" s="121"/>
      <c r="J121" s="119"/>
      <c r="K121" s="154"/>
      <c r="L121" s="176"/>
      <c r="M121" s="177"/>
      <c r="N121" s="115"/>
      <c r="O121" s="121"/>
    </row>
    <row r="122" spans="1:15" ht="15">
      <c r="A122" s="122" t="s">
        <v>169</v>
      </c>
      <c r="B122" s="127">
        <f>_xlfn.COMPOUNDVALUE(83)</f>
        <v>3314</v>
      </c>
      <c r="C122" s="128">
        <f>_xlfn.COMPOUNDVALUE(84)</f>
        <v>3540</v>
      </c>
      <c r="D122" s="125">
        <f>_xlfn.COMPOUNDVALUE(85)</f>
        <v>3614</v>
      </c>
      <c r="E122" s="129">
        <f>_xlfn.COMPOUNDVALUE(86)</f>
        <v>3813</v>
      </c>
      <c r="F122" s="127">
        <f>_xlfn.COMPOUNDVALUE(87)</f>
        <v>3969</v>
      </c>
      <c r="G122" s="125">
        <f>_xlfn.COMPOUNDVALUE(88)</f>
        <v>4079</v>
      </c>
      <c r="H122" s="126">
        <f>_xlfn.COMPOUNDVALUE(89)</f>
        <v>4409</v>
      </c>
      <c r="I122" s="124">
        <f>_xlfn.COMPOUNDVALUE(90)</f>
        <v>4660</v>
      </c>
      <c r="J122" s="127">
        <f>_xlfn.COMPOUNDVALUE(91)</f>
        <v>4899</v>
      </c>
      <c r="K122" s="126">
        <f>_xlfn.COMPOUNDVALUE(92)</f>
        <v>4665</v>
      </c>
      <c r="L122" s="125">
        <f>_xlfn.COMPOUNDVALUE(93)</f>
        <v>4432</v>
      </c>
      <c r="M122" s="129">
        <f>_xlfn.COMPOUNDVALUE(94)</f>
        <v>4152</v>
      </c>
      <c r="N122" s="123">
        <f>_xlfn.COMPOUNDVALUE(95)</f>
        <v>4162</v>
      </c>
      <c r="O122" s="124">
        <f>_xlfn.COMPOUNDVALUE(96)</f>
        <v>4173</v>
      </c>
    </row>
    <row r="123" spans="1:15" ht="15" outlineLevel="1">
      <c r="A123" s="4" t="s">
        <v>179</v>
      </c>
      <c r="B123" s="134">
        <v>0</v>
      </c>
      <c r="C123" s="135">
        <v>0</v>
      </c>
      <c r="D123" s="132">
        <v>0</v>
      </c>
      <c r="E123" s="136">
        <v>0</v>
      </c>
      <c r="F123" s="134">
        <v>0</v>
      </c>
      <c r="G123" s="132">
        <v>0</v>
      </c>
      <c r="H123" s="133">
        <v>0</v>
      </c>
      <c r="I123" s="131">
        <v>0</v>
      </c>
      <c r="J123" s="134">
        <v>0</v>
      </c>
      <c r="K123" s="160">
        <v>0</v>
      </c>
      <c r="L123" s="175">
        <v>0</v>
      </c>
      <c r="M123" s="161">
        <v>0</v>
      </c>
      <c r="N123" s="130">
        <v>0</v>
      </c>
      <c r="O123" s="131">
        <v>0</v>
      </c>
    </row>
    <row r="124" spans="1:15" ht="15" outlineLevel="1">
      <c r="A124" s="4" t="s">
        <v>180</v>
      </c>
      <c r="B124" s="134">
        <v>0</v>
      </c>
      <c r="C124" s="135">
        <v>0</v>
      </c>
      <c r="D124" s="132">
        <v>0</v>
      </c>
      <c r="E124" s="136">
        <v>0</v>
      </c>
      <c r="F124" s="134">
        <v>0</v>
      </c>
      <c r="G124" s="132">
        <v>0</v>
      </c>
      <c r="H124" s="133">
        <v>0</v>
      </c>
      <c r="I124" s="131">
        <v>0</v>
      </c>
      <c r="J124" s="134">
        <v>0</v>
      </c>
      <c r="K124" s="160">
        <v>0</v>
      </c>
      <c r="L124" s="175">
        <v>0</v>
      </c>
      <c r="M124" s="161">
        <v>0</v>
      </c>
      <c r="N124" s="130">
        <v>0</v>
      </c>
      <c r="O124" s="131">
        <v>0</v>
      </c>
    </row>
    <row r="125" spans="1:15" ht="15" outlineLevel="1">
      <c r="A125" s="4" t="s">
        <v>181</v>
      </c>
      <c r="B125" s="134">
        <v>0</v>
      </c>
      <c r="C125" s="135">
        <v>0</v>
      </c>
      <c r="D125" s="132">
        <v>0</v>
      </c>
      <c r="E125" s="136">
        <v>0</v>
      </c>
      <c r="F125" s="134">
        <v>0</v>
      </c>
      <c r="G125" s="132">
        <v>0</v>
      </c>
      <c r="H125" s="133">
        <v>0</v>
      </c>
      <c r="I125" s="131">
        <v>0</v>
      </c>
      <c r="J125" s="134">
        <v>0</v>
      </c>
      <c r="K125" s="160">
        <v>0</v>
      </c>
      <c r="L125" s="175">
        <v>0</v>
      </c>
      <c r="M125" s="161">
        <v>0</v>
      </c>
      <c r="N125" s="130">
        <v>0</v>
      </c>
      <c r="O125" s="131">
        <v>0</v>
      </c>
    </row>
    <row r="126" spans="1:15" ht="15" outlineLevel="1">
      <c r="A126" s="4" t="s">
        <v>182</v>
      </c>
      <c r="B126" s="119">
        <v>0.02987326493663245</v>
      </c>
      <c r="C126" s="120">
        <v>0.046045197740113064</v>
      </c>
      <c r="D126" s="117">
        <v>0.047039291643608205</v>
      </c>
      <c r="E126" s="116">
        <v>0.05664830841856805</v>
      </c>
      <c r="F126" s="119">
        <v>0.07407407407407407</v>
      </c>
      <c r="G126" s="117">
        <v>0.07109585682765385</v>
      </c>
      <c r="H126" s="118">
        <v>0.0682694488546155</v>
      </c>
      <c r="I126" s="121">
        <v>0.0725321888412016</v>
      </c>
      <c r="J126" s="119">
        <v>0.06327822004490713</v>
      </c>
      <c r="K126" s="154">
        <v>0.0668810289389068</v>
      </c>
      <c r="L126" s="176">
        <v>0.07445848375451258</v>
      </c>
      <c r="M126" s="177">
        <v>0.074421965317919</v>
      </c>
      <c r="N126" s="115">
        <v>0.07520422873618449</v>
      </c>
      <c r="O126" s="121">
        <v>0.0750059908938413</v>
      </c>
    </row>
    <row r="127" spans="1:15" ht="15" outlineLevel="1">
      <c r="A127" s="4" t="s">
        <v>183</v>
      </c>
      <c r="B127" s="119">
        <f>_xlfn.COMPOUNDVALUE(15)</f>
        <v>0.05491852745926373</v>
      </c>
      <c r="C127" s="120">
        <f>_xlfn.COMPOUNDVALUE(16)</f>
        <v>0.05084745762711865</v>
      </c>
      <c r="D127" s="117">
        <f>_xlfn.COMPOUNDVALUE(17)</f>
        <v>0.05285002767017156</v>
      </c>
      <c r="E127" s="116">
        <f>_xlfn.COMPOUNDVALUE(18)</f>
        <v>0.05166535536323105</v>
      </c>
      <c r="F127" s="119">
        <f>_xlfn.COMPOUNDVALUE(19)</f>
        <v>0.04938271604938271</v>
      </c>
      <c r="G127" s="117">
        <f>_xlfn.COMPOUNDVALUE(20)</f>
        <v>0.04927678352537387</v>
      </c>
      <c r="H127" s="118">
        <f>_xlfn.COMPOUNDVALUE(21)</f>
        <v>0.04604218643683375</v>
      </c>
      <c r="I127" s="121">
        <f>_xlfn.COMPOUNDVALUE(22)</f>
        <v>0.043991416309012876</v>
      </c>
      <c r="J127" s="119">
        <f>_xlfn.COMPOUNDVALUE(23)</f>
        <v>0.04409063074096754</v>
      </c>
      <c r="K127" s="154">
        <f>_xlfn.COMPOUNDVALUE(24)</f>
        <v>0.03172561629153269</v>
      </c>
      <c r="L127" s="176">
        <f>_xlfn.COMPOUNDVALUE(25)</f>
        <v>0.034070397111913356</v>
      </c>
      <c r="M127" s="177">
        <f>_xlfn.COMPOUNDVALUE(26)</f>
        <v>0.038535645472061654</v>
      </c>
      <c r="N127" s="115">
        <f>_xlfn.COMPOUNDVALUE(27)</f>
        <v>0.040365209034118214</v>
      </c>
      <c r="O127" s="121">
        <f>_xlfn.COMPOUNDVALUE(28)</f>
        <v>0.040498442367601244</v>
      </c>
    </row>
    <row r="128" spans="1:15" ht="15" outlineLevel="1">
      <c r="A128" s="4" t="s">
        <v>184</v>
      </c>
      <c r="B128" s="119">
        <f>_xlfn.COMPOUNDVALUE(29)</f>
        <v>0.9152082076041038</v>
      </c>
      <c r="C128" s="120">
        <f>_xlfn.COMPOUNDVALUE(30)</f>
        <v>0.9031073446327683</v>
      </c>
      <c r="D128" s="117">
        <f>_xlfn.COMPOUNDVALUE(31)</f>
        <v>0.9001106806862202</v>
      </c>
      <c r="E128" s="116">
        <f>_xlfn.COMPOUNDVALUE(32)</f>
        <v>0.8916863362182009</v>
      </c>
      <c r="F128" s="119">
        <f>_xlfn.COMPOUNDVALUE(33)</f>
        <v>0.8765432098765432</v>
      </c>
      <c r="G128" s="117">
        <f>_xlfn.COMPOUNDVALUE(34)</f>
        <v>0.8796273596469723</v>
      </c>
      <c r="H128" s="118">
        <f>_xlfn.COMPOUNDVALUE(35)</f>
        <v>0.8856883647085507</v>
      </c>
      <c r="I128" s="121">
        <f>_xlfn.COMPOUNDVALUE(36)</f>
        <v>0.8834763948497855</v>
      </c>
      <c r="J128" s="119">
        <f>_xlfn.COMPOUNDVALUE(37)</f>
        <v>0.8926311492141253</v>
      </c>
      <c r="K128" s="154">
        <f>_xlfn.COMPOUNDVALUE(38)</f>
        <v>0.9013933547695605</v>
      </c>
      <c r="L128" s="176">
        <f>_xlfn.COMPOUNDVALUE(39)</f>
        <v>0.891471119133574</v>
      </c>
      <c r="M128" s="177">
        <f>_xlfn.COMPOUNDVALUE(40)</f>
        <v>0.8870423892100193</v>
      </c>
      <c r="N128" s="115">
        <f>_xlfn.COMPOUNDVALUE(41)</f>
        <v>0.8844305622296973</v>
      </c>
      <c r="O128" s="121">
        <f>_xlfn.COMPOUNDVALUE(42)</f>
        <v>0.8844955667385574</v>
      </c>
    </row>
    <row r="129" spans="1:15" ht="15" outlineLevel="1">
      <c r="A129" s="4" t="s">
        <v>185</v>
      </c>
      <c r="B129" s="134">
        <v>0</v>
      </c>
      <c r="C129" s="135">
        <v>0</v>
      </c>
      <c r="D129" s="132">
        <v>0</v>
      </c>
      <c r="E129" s="136">
        <v>0</v>
      </c>
      <c r="F129" s="134">
        <v>0</v>
      </c>
      <c r="G129" s="132">
        <v>0</v>
      </c>
      <c r="H129" s="133">
        <v>0</v>
      </c>
      <c r="I129" s="131">
        <v>0</v>
      </c>
      <c r="J129" s="134">
        <v>0</v>
      </c>
      <c r="K129" s="160">
        <v>0</v>
      </c>
      <c r="L129" s="175">
        <v>0</v>
      </c>
      <c r="M129" s="161">
        <v>0</v>
      </c>
      <c r="N129" s="130">
        <v>0</v>
      </c>
      <c r="O129" s="131">
        <v>0</v>
      </c>
    </row>
    <row r="130" spans="1:15" ht="4.5" customHeight="1">
      <c r="A130" s="4"/>
      <c r="B130" s="119"/>
      <c r="C130" s="120"/>
      <c r="D130" s="117"/>
      <c r="E130" s="116"/>
      <c r="F130" s="119"/>
      <c r="G130" s="117"/>
      <c r="H130" s="118"/>
      <c r="I130" s="121"/>
      <c r="J130" s="119"/>
      <c r="K130" s="113"/>
      <c r="L130" s="174"/>
      <c r="M130" s="159"/>
      <c r="N130" s="115"/>
      <c r="O130" s="121"/>
    </row>
    <row r="131" spans="1:15" ht="15">
      <c r="A131" s="77" t="s">
        <v>131</v>
      </c>
      <c r="B131" s="82">
        <f>B132+B134+B136+B138+B140+B142+B144</f>
        <v>101500</v>
      </c>
      <c r="C131" s="83">
        <f aca="true" t="shared" si="9" ref="C131:O131">C132+C134+C136+C138+C140+C142+C144</f>
        <v>106037</v>
      </c>
      <c r="D131" s="79">
        <f t="shared" si="9"/>
        <v>107870</v>
      </c>
      <c r="E131" s="84">
        <f t="shared" si="9"/>
        <v>109843</v>
      </c>
      <c r="F131" s="82">
        <f t="shared" si="9"/>
        <v>113375</v>
      </c>
      <c r="G131" s="79">
        <f t="shared" si="9"/>
        <v>117089</v>
      </c>
      <c r="H131" s="81">
        <f t="shared" si="9"/>
        <v>120192</v>
      </c>
      <c r="I131" s="80">
        <f t="shared" si="9"/>
        <v>121654</v>
      </c>
      <c r="J131" s="82">
        <f t="shared" si="9"/>
        <v>123663</v>
      </c>
      <c r="K131" s="81">
        <f t="shared" si="9"/>
        <v>126041</v>
      </c>
      <c r="L131" s="79">
        <f t="shared" si="9"/>
        <v>128134</v>
      </c>
      <c r="M131" s="84">
        <f t="shared" si="9"/>
        <v>129320</v>
      </c>
      <c r="N131" s="78">
        <f t="shared" si="9"/>
        <v>130887</v>
      </c>
      <c r="O131" s="80">
        <f t="shared" si="9"/>
        <v>134007</v>
      </c>
    </row>
    <row r="132" spans="1:15" ht="15" outlineLevel="1">
      <c r="A132" s="4" t="s">
        <v>187</v>
      </c>
      <c r="B132" s="38">
        <v>78730</v>
      </c>
      <c r="C132" s="32">
        <v>83212</v>
      </c>
      <c r="D132" s="24">
        <v>84485</v>
      </c>
      <c r="E132" s="27">
        <v>86716</v>
      </c>
      <c r="F132" s="38">
        <v>90511</v>
      </c>
      <c r="G132" s="24">
        <v>91924</v>
      </c>
      <c r="H132" s="25">
        <v>94116</v>
      </c>
      <c r="I132" s="23">
        <v>93671</v>
      </c>
      <c r="J132" s="38">
        <v>92200</v>
      </c>
      <c r="K132" s="188">
        <v>92828</v>
      </c>
      <c r="L132" s="152">
        <v>92821</v>
      </c>
      <c r="M132" s="153">
        <v>96598</v>
      </c>
      <c r="N132" s="22">
        <v>51527</v>
      </c>
      <c r="O132" s="23">
        <v>48700</v>
      </c>
    </row>
    <row r="133" spans="1:15" ht="15" outlineLevel="1">
      <c r="A133" s="122" t="s">
        <v>132</v>
      </c>
      <c r="B133" s="143">
        <f>B132/B131</f>
        <v>0.7756650246305419</v>
      </c>
      <c r="C133" s="144">
        <f aca="true" t="shared" si="10" ref="C133:O133">C132/C131</f>
        <v>0.784744947518319</v>
      </c>
      <c r="D133" s="141">
        <f t="shared" si="10"/>
        <v>0.7832112728284045</v>
      </c>
      <c r="E133" s="142">
        <f t="shared" si="10"/>
        <v>0.7894540389464964</v>
      </c>
      <c r="F133" s="143">
        <f t="shared" si="10"/>
        <v>0.7983329658213892</v>
      </c>
      <c r="G133" s="141">
        <f t="shared" si="10"/>
        <v>0.7850780175763735</v>
      </c>
      <c r="H133" s="145">
        <f t="shared" si="10"/>
        <v>0.783047124600639</v>
      </c>
      <c r="I133" s="139">
        <f t="shared" si="10"/>
        <v>0.7699787923126243</v>
      </c>
      <c r="J133" s="143">
        <f t="shared" si="10"/>
        <v>0.7455746666343207</v>
      </c>
      <c r="K133" s="145">
        <f t="shared" si="10"/>
        <v>0.7364905070572274</v>
      </c>
      <c r="L133" s="141">
        <f t="shared" si="10"/>
        <v>0.7244057002825167</v>
      </c>
      <c r="M133" s="142">
        <f t="shared" si="10"/>
        <v>0.7469687596659449</v>
      </c>
      <c r="N133" s="140">
        <f t="shared" si="10"/>
        <v>0.39367546051173913</v>
      </c>
      <c r="O133" s="139">
        <f t="shared" si="10"/>
        <v>0.3634138515152194</v>
      </c>
    </row>
    <row r="134" spans="1:15" ht="15" outlineLevel="1">
      <c r="A134" s="4" t="s">
        <v>188</v>
      </c>
      <c r="B134" s="38">
        <v>12292</v>
      </c>
      <c r="C134" s="32">
        <v>12306</v>
      </c>
      <c r="D134" s="24">
        <v>12506</v>
      </c>
      <c r="E134" s="27">
        <v>12339</v>
      </c>
      <c r="F134" s="38">
        <v>12137</v>
      </c>
      <c r="G134" s="24">
        <v>12834</v>
      </c>
      <c r="H134" s="25">
        <v>13027</v>
      </c>
      <c r="I134" s="23">
        <v>13731</v>
      </c>
      <c r="J134" s="38">
        <v>14654</v>
      </c>
      <c r="K134" s="25">
        <v>15142</v>
      </c>
      <c r="L134" s="24">
        <v>13557</v>
      </c>
      <c r="M134" s="27">
        <v>883</v>
      </c>
      <c r="N134" s="22">
        <v>17436</v>
      </c>
      <c r="O134" s="23">
        <v>16928</v>
      </c>
    </row>
    <row r="135" spans="1:17" ht="15" outlineLevel="1">
      <c r="A135" s="122" t="s">
        <v>132</v>
      </c>
      <c r="B135" s="143">
        <f>B134/B131</f>
        <v>0.12110344827586207</v>
      </c>
      <c r="C135" s="144">
        <f aca="true" t="shared" si="11" ref="C135:O135">C134/C131</f>
        <v>0.11605383026679367</v>
      </c>
      <c r="D135" s="141">
        <f t="shared" si="11"/>
        <v>0.11593584870677667</v>
      </c>
      <c r="E135" s="142">
        <f t="shared" si="11"/>
        <v>0.11233305718161375</v>
      </c>
      <c r="F135" s="143">
        <f t="shared" si="11"/>
        <v>0.10705181918412349</v>
      </c>
      <c r="G135" s="141">
        <f t="shared" si="11"/>
        <v>0.10960892995926176</v>
      </c>
      <c r="H135" s="145">
        <f t="shared" si="11"/>
        <v>0.10838491746538871</v>
      </c>
      <c r="I135" s="139">
        <f t="shared" si="11"/>
        <v>0.11286928502145428</v>
      </c>
      <c r="J135" s="143">
        <f t="shared" si="11"/>
        <v>0.11849947033469994</v>
      </c>
      <c r="K135" s="145">
        <f t="shared" si="11"/>
        <v>0.12013551146055648</v>
      </c>
      <c r="L135" s="141">
        <f t="shared" si="11"/>
        <v>0.10580329967065728</v>
      </c>
      <c r="M135" s="142">
        <f t="shared" si="11"/>
        <v>0.006828023507578101</v>
      </c>
      <c r="N135" s="140">
        <f t="shared" si="11"/>
        <v>0.13321414655389763</v>
      </c>
      <c r="O135" s="139">
        <f t="shared" si="11"/>
        <v>0.12632175931108078</v>
      </c>
      <c r="Q135" s="2"/>
    </row>
    <row r="136" spans="1:15" ht="15" outlineLevel="1">
      <c r="A136" s="4" t="s">
        <v>189</v>
      </c>
      <c r="B136" s="38">
        <v>9420</v>
      </c>
      <c r="C136" s="32">
        <v>9341</v>
      </c>
      <c r="D136" s="24">
        <v>9043</v>
      </c>
      <c r="E136" s="27">
        <v>8781</v>
      </c>
      <c r="F136" s="38">
        <v>8838</v>
      </c>
      <c r="G136" s="24">
        <v>10183</v>
      </c>
      <c r="H136" s="25">
        <v>10672</v>
      </c>
      <c r="I136" s="23">
        <v>11342</v>
      </c>
      <c r="J136" s="38">
        <v>12144</v>
      </c>
      <c r="K136" s="25">
        <v>13143</v>
      </c>
      <c r="L136" s="24">
        <v>14805</v>
      </c>
      <c r="M136" s="27">
        <v>19693</v>
      </c>
      <c r="N136" s="22">
        <v>50188</v>
      </c>
      <c r="O136" s="23">
        <v>50842</v>
      </c>
    </row>
    <row r="137" spans="1:15" ht="15" outlineLevel="1">
      <c r="A137" s="122" t="s">
        <v>132</v>
      </c>
      <c r="B137" s="143">
        <f>B136/B131</f>
        <v>0.09280788177339902</v>
      </c>
      <c r="C137" s="144">
        <f aca="true" t="shared" si="12" ref="C137:O137">C136/C131</f>
        <v>0.08809189245263446</v>
      </c>
      <c r="D137" s="141">
        <f t="shared" si="12"/>
        <v>0.08383239084082691</v>
      </c>
      <c r="E137" s="142">
        <f t="shared" si="12"/>
        <v>0.07994137086569011</v>
      </c>
      <c r="F137" s="143">
        <f t="shared" si="12"/>
        <v>0.07795369349503858</v>
      </c>
      <c r="G137" s="141">
        <f t="shared" si="12"/>
        <v>0.08696803286388986</v>
      </c>
      <c r="H137" s="145">
        <f t="shared" si="12"/>
        <v>0.08879126730564431</v>
      </c>
      <c r="I137" s="139">
        <f t="shared" si="12"/>
        <v>0.09323162411429135</v>
      </c>
      <c r="J137" s="143">
        <f t="shared" si="12"/>
        <v>0.0982023725770845</v>
      </c>
      <c r="K137" s="145">
        <f t="shared" si="12"/>
        <v>0.10427559286263993</v>
      </c>
      <c r="L137" s="141">
        <f t="shared" si="12"/>
        <v>0.11554310331371845</v>
      </c>
      <c r="M137" s="142">
        <f t="shared" si="12"/>
        <v>0.15228116300649552</v>
      </c>
      <c r="N137" s="140">
        <f t="shared" si="12"/>
        <v>0.38344526194350853</v>
      </c>
      <c r="O137" s="139">
        <f t="shared" si="12"/>
        <v>0.37939809114449247</v>
      </c>
    </row>
    <row r="138" spans="1:15" ht="15" outlineLevel="1">
      <c r="A138" s="4" t="s">
        <v>190</v>
      </c>
      <c r="B138" s="38">
        <v>948</v>
      </c>
      <c r="C138" s="32">
        <v>1056</v>
      </c>
      <c r="D138" s="24">
        <v>1080</v>
      </c>
      <c r="E138" s="27">
        <v>1132</v>
      </c>
      <c r="F138" s="38">
        <v>1200</v>
      </c>
      <c r="G138" s="24">
        <v>1483</v>
      </c>
      <c r="H138" s="25">
        <v>1695</v>
      </c>
      <c r="I138" s="23">
        <v>2614</v>
      </c>
      <c r="J138" s="38">
        <v>4203</v>
      </c>
      <c r="K138" s="188">
        <v>4288</v>
      </c>
      <c r="L138" s="152">
        <v>5786</v>
      </c>
      <c r="M138" s="153">
        <v>10548</v>
      </c>
      <c r="N138" s="22">
        <v>9953</v>
      </c>
      <c r="O138" s="23">
        <v>15436</v>
      </c>
    </row>
    <row r="139" spans="1:15" ht="15" outlineLevel="1">
      <c r="A139" s="122" t="s">
        <v>132</v>
      </c>
      <c r="B139" s="143">
        <f>B138/B131</f>
        <v>0.009339901477832513</v>
      </c>
      <c r="C139" s="144">
        <f aca="true" t="shared" si="13" ref="C139:O139">C138/C131</f>
        <v>0.009958787970236804</v>
      </c>
      <c r="D139" s="141">
        <f t="shared" si="13"/>
        <v>0.010012051543524613</v>
      </c>
      <c r="E139" s="142">
        <f t="shared" si="13"/>
        <v>0.010305618018444507</v>
      </c>
      <c r="F139" s="143">
        <f t="shared" si="13"/>
        <v>0.010584343991179712</v>
      </c>
      <c r="G139" s="141">
        <f t="shared" si="13"/>
        <v>0.012665579174815738</v>
      </c>
      <c r="H139" s="145">
        <f t="shared" si="13"/>
        <v>0.014102436102236422</v>
      </c>
      <c r="I139" s="139">
        <f t="shared" si="13"/>
        <v>0.02148716852713433</v>
      </c>
      <c r="J139" s="143">
        <f t="shared" si="13"/>
        <v>0.03398753062759273</v>
      </c>
      <c r="K139" s="145">
        <f t="shared" si="13"/>
        <v>0.034020675811839006</v>
      </c>
      <c r="L139" s="141">
        <f t="shared" si="13"/>
        <v>0.045155852466948664</v>
      </c>
      <c r="M139" s="142">
        <f t="shared" si="13"/>
        <v>0.08156510980513455</v>
      </c>
      <c r="N139" s="140">
        <f t="shared" si="13"/>
        <v>0.07604269331560812</v>
      </c>
      <c r="O139" s="139">
        <f t="shared" si="13"/>
        <v>0.11518801256650772</v>
      </c>
    </row>
    <row r="140" spans="1:15" ht="15" outlineLevel="1">
      <c r="A140" s="4" t="s">
        <v>191</v>
      </c>
      <c r="B140" s="38">
        <v>110</v>
      </c>
      <c r="C140" s="32">
        <v>122</v>
      </c>
      <c r="D140" s="24">
        <v>141</v>
      </c>
      <c r="E140" s="27">
        <v>163</v>
      </c>
      <c r="F140" s="38">
        <v>5</v>
      </c>
      <c r="G140" s="24">
        <v>5</v>
      </c>
      <c r="H140" s="25">
        <v>5</v>
      </c>
      <c r="I140" s="23">
        <v>34</v>
      </c>
      <c r="J140" s="38">
        <v>191</v>
      </c>
      <c r="K140" s="25">
        <v>3</v>
      </c>
      <c r="L140" s="24">
        <v>2</v>
      </c>
      <c r="M140" s="27">
        <v>2</v>
      </c>
      <c r="N140" s="22">
        <v>2</v>
      </c>
      <c r="O140" s="23">
        <v>8</v>
      </c>
    </row>
    <row r="141" spans="1:15" ht="15" outlineLevel="1">
      <c r="A141" s="122" t="s">
        <v>132</v>
      </c>
      <c r="B141" s="143">
        <f>B140/B131</f>
        <v>0.001083743842364532</v>
      </c>
      <c r="C141" s="144">
        <f aca="true" t="shared" si="14" ref="C141:O141">C140/C131</f>
        <v>0.0011505417920159944</v>
      </c>
      <c r="D141" s="141">
        <f t="shared" si="14"/>
        <v>0.0013071289515157133</v>
      </c>
      <c r="E141" s="142">
        <f t="shared" si="14"/>
        <v>0.0014839361634332638</v>
      </c>
      <c r="F141" s="289">
        <f t="shared" si="14"/>
        <v>4.410143329658214E-05</v>
      </c>
      <c r="G141" s="290">
        <f t="shared" si="14"/>
        <v>4.270255959142191E-05</v>
      </c>
      <c r="H141" s="291">
        <f t="shared" si="14"/>
        <v>4.160010649627263E-05</v>
      </c>
      <c r="I141" s="139">
        <f t="shared" si="14"/>
        <v>0.000279481151462344</v>
      </c>
      <c r="J141" s="143">
        <f t="shared" si="14"/>
        <v>0.0015445201879301003</v>
      </c>
      <c r="K141" s="291">
        <f t="shared" si="14"/>
        <v>2.3801778786267962E-05</v>
      </c>
      <c r="L141" s="290">
        <f t="shared" si="14"/>
        <v>1.56086596843929E-05</v>
      </c>
      <c r="M141" s="292">
        <f t="shared" si="14"/>
        <v>1.546551190844417E-05</v>
      </c>
      <c r="N141" s="293">
        <f t="shared" si="14"/>
        <v>1.52803563379098E-05</v>
      </c>
      <c r="O141" s="139">
        <f t="shared" si="14"/>
        <v>5.9698373965539115E-05</v>
      </c>
    </row>
    <row r="142" spans="1:15" ht="15" outlineLevel="1">
      <c r="A142" s="4" t="s">
        <v>192</v>
      </c>
      <c r="B142" s="38">
        <v>0</v>
      </c>
      <c r="C142" s="32">
        <v>0</v>
      </c>
      <c r="D142" s="24">
        <v>615</v>
      </c>
      <c r="E142" s="27">
        <v>712</v>
      </c>
      <c r="F142" s="38">
        <v>684</v>
      </c>
      <c r="G142" s="24">
        <v>660</v>
      </c>
      <c r="H142" s="25">
        <v>677</v>
      </c>
      <c r="I142" s="23">
        <v>262</v>
      </c>
      <c r="J142" s="38">
        <v>271</v>
      </c>
      <c r="K142" s="25">
        <v>314</v>
      </c>
      <c r="L142" s="24">
        <v>698</v>
      </c>
      <c r="M142" s="27">
        <v>964</v>
      </c>
      <c r="N142" s="22">
        <v>1054</v>
      </c>
      <c r="O142" s="23">
        <v>1247</v>
      </c>
    </row>
    <row r="143" spans="1:15" ht="15" outlineLevel="1">
      <c r="A143" s="122" t="s">
        <v>132</v>
      </c>
      <c r="B143" s="224">
        <v>0</v>
      </c>
      <c r="C143" s="150">
        <v>0</v>
      </c>
      <c r="D143" s="141">
        <f aca="true" t="shared" si="15" ref="D143:O143">D142/D131</f>
        <v>0.005701307128951515</v>
      </c>
      <c r="E143" s="142">
        <f t="shared" si="15"/>
        <v>0.006481978824321987</v>
      </c>
      <c r="F143" s="143">
        <f t="shared" si="15"/>
        <v>0.006033076074972436</v>
      </c>
      <c r="G143" s="141">
        <f t="shared" si="15"/>
        <v>0.005636737866067692</v>
      </c>
      <c r="H143" s="145">
        <f t="shared" si="15"/>
        <v>0.005632654419595314</v>
      </c>
      <c r="I143" s="139">
        <f t="shared" si="15"/>
        <v>0.0021536488730333567</v>
      </c>
      <c r="J143" s="143">
        <f t="shared" si="15"/>
        <v>0.002191439638372027</v>
      </c>
      <c r="K143" s="145">
        <f t="shared" si="15"/>
        <v>0.0024912528462960465</v>
      </c>
      <c r="L143" s="141">
        <f t="shared" si="15"/>
        <v>0.005447422229853122</v>
      </c>
      <c r="M143" s="142">
        <f t="shared" si="15"/>
        <v>0.00745437673987009</v>
      </c>
      <c r="N143" s="140">
        <f t="shared" si="15"/>
        <v>0.008052747790078465</v>
      </c>
      <c r="O143" s="139">
        <f t="shared" si="15"/>
        <v>0.00930548404187841</v>
      </c>
    </row>
    <row r="144" spans="1:15" ht="15" outlineLevel="1">
      <c r="A144" s="4" t="s">
        <v>193</v>
      </c>
      <c r="B144" s="38">
        <v>0</v>
      </c>
      <c r="C144" s="32">
        <v>0</v>
      </c>
      <c r="D144" s="24">
        <v>0</v>
      </c>
      <c r="E144" s="27">
        <v>0</v>
      </c>
      <c r="F144" s="38">
        <v>0</v>
      </c>
      <c r="G144" s="24">
        <v>0</v>
      </c>
      <c r="H144" s="25">
        <v>0</v>
      </c>
      <c r="I144" s="23">
        <v>0</v>
      </c>
      <c r="J144" s="38">
        <v>0</v>
      </c>
      <c r="K144" s="188">
        <v>323</v>
      </c>
      <c r="L144" s="152">
        <v>465</v>
      </c>
      <c r="M144" s="153">
        <v>632</v>
      </c>
      <c r="N144" s="22">
        <v>727</v>
      </c>
      <c r="O144" s="23">
        <v>846</v>
      </c>
    </row>
    <row r="145" spans="1:15" ht="15" outlineLevel="1">
      <c r="A145" s="122" t="s">
        <v>132</v>
      </c>
      <c r="B145" s="224">
        <f>B144/B131</f>
        <v>0</v>
      </c>
      <c r="C145" s="150">
        <f aca="true" t="shared" si="16" ref="C145:O145">C144/C131</f>
        <v>0</v>
      </c>
      <c r="D145" s="147">
        <f t="shared" si="16"/>
        <v>0</v>
      </c>
      <c r="E145" s="149">
        <f t="shared" si="16"/>
        <v>0</v>
      </c>
      <c r="F145" s="224">
        <f t="shared" si="16"/>
        <v>0</v>
      </c>
      <c r="G145" s="147">
        <f t="shared" si="16"/>
        <v>0</v>
      </c>
      <c r="H145" s="148">
        <f t="shared" si="16"/>
        <v>0</v>
      </c>
      <c r="I145" s="146">
        <f t="shared" si="16"/>
        <v>0</v>
      </c>
      <c r="J145" s="224">
        <f t="shared" si="16"/>
        <v>0</v>
      </c>
      <c r="K145" s="145">
        <f t="shared" si="16"/>
        <v>0.0025626581826548502</v>
      </c>
      <c r="L145" s="141">
        <f t="shared" si="16"/>
        <v>0.0036290133766213495</v>
      </c>
      <c r="M145" s="142">
        <f t="shared" si="16"/>
        <v>0.004887101763068357</v>
      </c>
      <c r="N145" s="140">
        <f t="shared" si="16"/>
        <v>0.005554409528830212</v>
      </c>
      <c r="O145" s="139">
        <f t="shared" si="16"/>
        <v>0.006313103046855761</v>
      </c>
    </row>
    <row r="146" spans="1:15" ht="4.5" customHeight="1">
      <c r="A146" s="4"/>
      <c r="B146" s="119"/>
      <c r="C146" s="120"/>
      <c r="D146" s="117"/>
      <c r="E146" s="116"/>
      <c r="F146" s="119"/>
      <c r="G146" s="117"/>
      <c r="H146" s="118"/>
      <c r="I146" s="121"/>
      <c r="J146" s="119"/>
      <c r="K146" s="118"/>
      <c r="L146" s="117"/>
      <c r="M146" s="116"/>
      <c r="N146" s="115"/>
      <c r="O146" s="121"/>
    </row>
    <row r="147" spans="1:15" ht="15">
      <c r="A147" s="8" t="s">
        <v>42</v>
      </c>
      <c r="B147" s="45">
        <f>_xlfn.COMPOUNDVALUE(97)</f>
        <v>0.24832070126159286</v>
      </c>
      <c r="C147" s="46">
        <f>_xlfn.COMPOUNDVALUE(98)</f>
        <v>0.2588275177373659</v>
      </c>
      <c r="D147" s="42">
        <f>_xlfn.COMPOUNDVALUE(99)</f>
        <v>0.2626365111267162</v>
      </c>
      <c r="E147" s="47">
        <f>_xlfn.COMPOUNDVALUE(100)</f>
        <v>0.26713562728527496</v>
      </c>
      <c r="F147" s="45">
        <f>_xlfn.COMPOUNDVALUE(101)</f>
        <v>0.2721345155968268</v>
      </c>
      <c r="G147" s="42">
        <v>0.2808602140238544</v>
      </c>
      <c r="H147" s="44">
        <v>0.2881635565601975</v>
      </c>
      <c r="I147" s="43">
        <v>0.2913051911200933</v>
      </c>
      <c r="J147" s="45">
        <v>0.2961158190399337</v>
      </c>
      <c r="K147" s="44">
        <v>0.30181003167974485</v>
      </c>
      <c r="L147" s="42">
        <v>0.3068218008366518</v>
      </c>
      <c r="M147" s="47">
        <v>0.3096617235409478</v>
      </c>
      <c r="N147" s="41">
        <v>0.3134139654276526</v>
      </c>
      <c r="O147" s="43">
        <v>0.32204705486530005</v>
      </c>
    </row>
    <row r="148" spans="1:15" ht="3" customHeight="1">
      <c r="A148" s="5"/>
      <c r="B148" s="119"/>
      <c r="C148" s="120"/>
      <c r="D148" s="117"/>
      <c r="E148" s="116"/>
      <c r="F148" s="119"/>
      <c r="G148" s="117"/>
      <c r="H148" s="118"/>
      <c r="I148" s="121"/>
      <c r="J148" s="119"/>
      <c r="K148" s="118"/>
      <c r="L148" s="117"/>
      <c r="M148" s="116"/>
      <c r="N148" s="115"/>
      <c r="O148" s="121"/>
    </row>
    <row r="149" spans="1:15" ht="15" customHeight="1">
      <c r="A149" s="109" t="s">
        <v>13</v>
      </c>
      <c r="B149" s="257">
        <f>_xlfn.COMPOUNDVALUE(553)</f>
        <v>50.07039599594013</v>
      </c>
      <c r="C149" s="258">
        <f>_xlfn.COMPOUNDVALUE(554)</f>
        <v>49.211743927877926</v>
      </c>
      <c r="D149" s="259">
        <f>_xlfn.COMPOUNDVALUE(555)</f>
        <v>46.929426555026254</v>
      </c>
      <c r="E149" s="260">
        <f>_xlfn.COMPOUNDVALUE(556)</f>
        <v>47.753630954338966</v>
      </c>
      <c r="F149" s="257">
        <f>_xlfn.COMPOUNDVALUE(557)</f>
        <v>45.12963339183219</v>
      </c>
      <c r="G149" s="259">
        <f>_xlfn.COMPOUNDVALUE(558)</f>
        <v>45.443065554707026</v>
      </c>
      <c r="H149" s="261">
        <f>_xlfn.COMPOUNDVALUE(559)</f>
        <v>42.817696570732586</v>
      </c>
      <c r="I149" s="262">
        <f>_xlfn.COMPOUNDVALUE(560)</f>
        <v>43.82605724303896</v>
      </c>
      <c r="J149" s="257">
        <f>_xlfn.COMPOUNDVALUE(561)</f>
        <v>42.322811927742464</v>
      </c>
      <c r="K149" s="261">
        <f>_xlfn.COMPOUNDVALUE(562)</f>
        <v>42.59844046082563</v>
      </c>
      <c r="L149" s="259">
        <f>_xlfn.COMPOUNDVALUE(563)</f>
        <v>42.40408206944035</v>
      </c>
      <c r="M149" s="260">
        <f>_xlfn.COMPOUNDVALUE(564)</f>
        <v>42.449583226518136</v>
      </c>
      <c r="N149" s="263">
        <f>_xlfn.COMPOUNDVALUE(565)</f>
        <v>43.15364751909057</v>
      </c>
      <c r="O149" s="262">
        <v>44.05</v>
      </c>
    </row>
    <row r="150" spans="1:15" s="234" customFormat="1" ht="3.75" customHeight="1">
      <c r="A150" s="249"/>
      <c r="B150" s="250"/>
      <c r="C150" s="251"/>
      <c r="D150" s="252"/>
      <c r="E150" s="253"/>
      <c r="F150" s="250"/>
      <c r="G150" s="252"/>
      <c r="H150" s="254"/>
      <c r="I150" s="255"/>
      <c r="J150" s="250"/>
      <c r="K150" s="254"/>
      <c r="L150" s="252"/>
      <c r="M150" s="253"/>
      <c r="N150" s="256"/>
      <c r="O150" s="255"/>
    </row>
    <row r="151" spans="1:15" ht="15">
      <c r="A151" s="137" t="s">
        <v>103</v>
      </c>
      <c r="B151" s="37">
        <f>_xlfn.COMPOUNDVALUE(194)</f>
        <v>18496</v>
      </c>
      <c r="C151" s="31">
        <f>_xlfn.COMPOUNDVALUE(195)</f>
        <v>27141</v>
      </c>
      <c r="D151" s="14">
        <f>_xlfn.COMPOUNDVALUE(196)</f>
        <v>31855</v>
      </c>
      <c r="E151" s="50">
        <f>_xlfn.COMPOUNDVALUE(197)</f>
        <v>35582</v>
      </c>
      <c r="F151" s="37">
        <f>_xlfn.COMPOUNDVALUE(198)</f>
        <v>43430</v>
      </c>
      <c r="G151" s="14">
        <f>_xlfn.COMPOUNDVALUE(199)</f>
        <v>48408</v>
      </c>
      <c r="H151" s="20">
        <f>_xlfn.COMPOUNDVALUE(200)</f>
        <v>55605</v>
      </c>
      <c r="I151" s="13">
        <f>_xlfn.COMPOUNDVALUE(201)</f>
        <v>64115</v>
      </c>
      <c r="J151" s="37">
        <f>_xlfn.COMPOUNDVALUE(202)</f>
        <v>50269</v>
      </c>
      <c r="K151" s="20">
        <f>_xlfn.COMPOUNDVALUE(203)</f>
        <v>50157</v>
      </c>
      <c r="L151" s="14">
        <f>_xlfn.COMPOUNDVALUE(204)</f>
        <v>50533</v>
      </c>
      <c r="M151" s="50">
        <f>_xlfn.COMPOUNDVALUE(205)</f>
        <v>52905</v>
      </c>
      <c r="N151" s="12">
        <f>_xlfn.COMPOUNDVALUE(206)</f>
        <v>53847</v>
      </c>
      <c r="O151" s="13">
        <f>_xlfn.COMPOUNDVALUE(207)</f>
        <v>68422</v>
      </c>
    </row>
    <row r="152" spans="1:15" ht="15">
      <c r="A152" s="122" t="s">
        <v>139</v>
      </c>
      <c r="B152" s="143">
        <f>B151/B131</f>
        <v>0.18222660098522167</v>
      </c>
      <c r="C152" s="144">
        <f aca="true" t="shared" si="17" ref="C152:O152">C151/C131</f>
        <v>0.2559578260418533</v>
      </c>
      <c r="D152" s="141">
        <f t="shared" si="17"/>
        <v>0.2953091684434968</v>
      </c>
      <c r="E152" s="142">
        <f t="shared" si="17"/>
        <v>0.3239350709649227</v>
      </c>
      <c r="F152" s="143">
        <f t="shared" si="17"/>
        <v>0.3830650496141125</v>
      </c>
      <c r="G152" s="141">
        <f t="shared" si="17"/>
        <v>0.4134291009403104</v>
      </c>
      <c r="H152" s="145">
        <f t="shared" si="17"/>
        <v>0.4626347843450479</v>
      </c>
      <c r="I152" s="139">
        <f t="shared" si="17"/>
        <v>0.527027471353182</v>
      </c>
      <c r="J152" s="143">
        <f t="shared" si="17"/>
        <v>0.40649992317831524</v>
      </c>
      <c r="K152" s="145">
        <f t="shared" si="17"/>
        <v>0.39794193952761403</v>
      </c>
      <c r="L152" s="141">
        <f t="shared" si="17"/>
        <v>0.3943761999157132</v>
      </c>
      <c r="M152" s="142">
        <f t="shared" si="17"/>
        <v>0.4091014537581194</v>
      </c>
      <c r="N152" s="140">
        <f t="shared" si="17"/>
        <v>0.4114006738637145</v>
      </c>
      <c r="O152" s="139">
        <f t="shared" si="17"/>
        <v>0.5105852679337647</v>
      </c>
    </row>
    <row r="153" spans="1:15" s="61" customFormat="1" ht="5.25" customHeight="1">
      <c r="A153" s="5"/>
      <c r="B153" s="74"/>
      <c r="C153" s="73"/>
      <c r="D153" s="71"/>
      <c r="E153" s="72"/>
      <c r="F153" s="74"/>
      <c r="G153" s="71"/>
      <c r="H153" s="75"/>
      <c r="I153" s="76"/>
      <c r="J153" s="74"/>
      <c r="K153" s="184"/>
      <c r="L153" s="182"/>
      <c r="M153" s="183"/>
      <c r="N153" s="70"/>
      <c r="O153" s="76"/>
    </row>
    <row r="154" spans="1:15" ht="15">
      <c r="A154" s="303" t="s">
        <v>8</v>
      </c>
      <c r="B154" s="304"/>
      <c r="C154" s="304"/>
      <c r="D154" s="304"/>
      <c r="E154" s="304"/>
      <c r="F154" s="304"/>
      <c r="G154" s="304"/>
      <c r="H154" s="304"/>
      <c r="I154" s="304"/>
      <c r="J154" s="304"/>
      <c r="K154" s="304"/>
      <c r="L154" s="304"/>
      <c r="M154" s="304"/>
      <c r="N154" s="304"/>
      <c r="O154" s="305"/>
    </row>
    <row r="155" spans="1:15" ht="4.5" customHeight="1">
      <c r="A155" s="9"/>
      <c r="B155" s="39"/>
      <c r="C155" s="33"/>
      <c r="D155" s="17"/>
      <c r="E155" s="51"/>
      <c r="F155" s="39"/>
      <c r="G155" s="17"/>
      <c r="H155" s="21"/>
      <c r="I155" s="16"/>
      <c r="J155" s="39"/>
      <c r="K155" s="113"/>
      <c r="L155" s="174"/>
      <c r="M155" s="159"/>
      <c r="N155" s="15"/>
      <c r="O155" s="16"/>
    </row>
    <row r="156" spans="1:15" ht="15">
      <c r="A156" s="8" t="s">
        <v>126</v>
      </c>
      <c r="B156" s="37">
        <f>B160+B165+B170</f>
        <v>135508</v>
      </c>
      <c r="C156" s="31">
        <f aca="true" t="shared" si="18" ref="C156:O156">C160+C165+C170</f>
        <v>137377</v>
      </c>
      <c r="D156" s="14">
        <f t="shared" si="18"/>
        <v>138700</v>
      </c>
      <c r="E156" s="50">
        <f t="shared" si="18"/>
        <v>139336</v>
      </c>
      <c r="F156" s="37">
        <f t="shared" si="18"/>
        <v>140511</v>
      </c>
      <c r="G156" s="14">
        <f t="shared" si="18"/>
        <v>143186</v>
      </c>
      <c r="H156" s="14">
        <f t="shared" si="18"/>
        <v>145012</v>
      </c>
      <c r="I156" s="13">
        <f t="shared" si="18"/>
        <v>143752</v>
      </c>
      <c r="J156" s="37">
        <f t="shared" si="18"/>
        <v>145743</v>
      </c>
      <c r="K156" s="20">
        <f t="shared" si="18"/>
        <v>147722</v>
      </c>
      <c r="L156" s="14">
        <f t="shared" si="18"/>
        <v>149131</v>
      </c>
      <c r="M156" s="50">
        <f t="shared" si="18"/>
        <v>149727</v>
      </c>
      <c r="N156" s="12">
        <f t="shared" si="18"/>
        <v>148165</v>
      </c>
      <c r="O156" s="13">
        <f t="shared" si="18"/>
        <v>148470</v>
      </c>
    </row>
    <row r="157" spans="1:15" ht="15" outlineLevel="1">
      <c r="A157" s="4" t="s">
        <v>162</v>
      </c>
      <c r="B157" s="119">
        <f>_xlfn.COMPOUNDVALUE(166)</f>
        <v>0.7316763585913747</v>
      </c>
      <c r="C157" s="120">
        <f>_xlfn.COMPOUNDVALUE(167)</f>
        <v>0.7129650523741238</v>
      </c>
      <c r="D157" s="117">
        <f>_xlfn.COMPOUNDVALUE(168)</f>
        <v>0.6937707281903389</v>
      </c>
      <c r="E157" s="116">
        <f>_xlfn.COMPOUNDVALUE(169)</f>
        <v>0.6772478038697824</v>
      </c>
      <c r="F157" s="119">
        <f>_xlfn.COMPOUNDVALUE(170)</f>
        <v>0.6550020994797561</v>
      </c>
      <c r="G157" s="117">
        <f>_xlfn.COMPOUNDVALUE(171)</f>
        <v>0.6333510259382901</v>
      </c>
      <c r="H157" s="117">
        <f>_xlfn.COMPOUNDVALUE(172)</f>
        <v>0.6012398973878024</v>
      </c>
      <c r="I157" s="121">
        <f>_xlfn.COMPOUNDVALUE(173)</f>
        <v>0.5795119372252212</v>
      </c>
      <c r="J157" s="119">
        <f>_xlfn.COMPOUNDVALUE(174)</f>
        <v>0.5733723060455733</v>
      </c>
      <c r="K157" s="118">
        <f>_xlfn.COMPOUNDVALUE(175)</f>
        <v>0.5668756177143552</v>
      </c>
      <c r="L157" s="117">
        <f>_xlfn.COMPOUNDVALUE(176)</f>
        <v>0.5615264431942386</v>
      </c>
      <c r="M157" s="116">
        <f>_xlfn.COMPOUNDVALUE(177)</f>
        <v>0.5595984692139695</v>
      </c>
      <c r="N157" s="115">
        <f>_xlfn.COMPOUNDVALUE(178)</f>
        <v>0.56393885195559</v>
      </c>
      <c r="O157" s="121">
        <f>_xlfn.COMPOUNDVALUE(179)</f>
        <v>0.5608271031184752</v>
      </c>
    </row>
    <row r="158" spans="1:15" ht="15" outlineLevel="1">
      <c r="A158" s="4" t="s">
        <v>161</v>
      </c>
      <c r="B158" s="119">
        <v>0.2683236414086253</v>
      </c>
      <c r="C158" s="120">
        <v>0.2870349476258762</v>
      </c>
      <c r="D158" s="117">
        <v>0.3062292718096611</v>
      </c>
      <c r="E158" s="116">
        <v>0.32275219613021755</v>
      </c>
      <c r="F158" s="119">
        <v>0.3449979005202439</v>
      </c>
      <c r="G158" s="117">
        <v>0.36664897406170993</v>
      </c>
      <c r="H158" s="117">
        <v>0.39876010261219763</v>
      </c>
      <c r="I158" s="121">
        <v>0.4204880627747788</v>
      </c>
      <c r="J158" s="119">
        <v>0.4266276939544267</v>
      </c>
      <c r="K158" s="118">
        <v>0.43312438228564476</v>
      </c>
      <c r="L158" s="117">
        <v>0.4384735568057614</v>
      </c>
      <c r="M158" s="116">
        <v>0.4404015307860305</v>
      </c>
      <c r="N158" s="115">
        <v>0.43606114804441</v>
      </c>
      <c r="O158" s="121">
        <v>0.43917289688152483</v>
      </c>
    </row>
    <row r="159" spans="1:15" ht="3" customHeight="1">
      <c r="A159" s="163"/>
      <c r="B159" s="214"/>
      <c r="C159" s="215"/>
      <c r="D159" s="212"/>
      <c r="E159" s="216"/>
      <c r="F159" s="214"/>
      <c r="G159" s="212"/>
      <c r="H159" s="212"/>
      <c r="I159" s="211"/>
      <c r="J159" s="214"/>
      <c r="K159" s="213"/>
      <c r="L159" s="212"/>
      <c r="M159" s="216"/>
      <c r="N159" s="210"/>
      <c r="O159" s="211"/>
    </row>
    <row r="160" spans="1:15" ht="15">
      <c r="A160" s="77" t="s">
        <v>133</v>
      </c>
      <c r="B160" s="82">
        <f>_xlfn.COMPOUNDVALUE(166)</f>
        <v>50104</v>
      </c>
      <c r="C160" s="83">
        <f>_xlfn.COMPOUNDVALUE(167)</f>
        <v>42946</v>
      </c>
      <c r="D160" s="79">
        <f>_xlfn.COMPOUNDVALUE(168)</f>
        <v>34190</v>
      </c>
      <c r="E160" s="84">
        <f>_xlfn.COMPOUNDVALUE(169)</f>
        <v>28677</v>
      </c>
      <c r="F160" s="82">
        <f>_xlfn.COMPOUNDVALUE(170)</f>
        <v>23532</v>
      </c>
      <c r="G160" s="79">
        <f>_xlfn.COMPOUNDVALUE(171)</f>
        <v>19226</v>
      </c>
      <c r="H160" s="79">
        <f>_xlfn.COMPOUNDVALUE(172)</f>
        <v>16758</v>
      </c>
      <c r="I160" s="80">
        <f>_xlfn.COMPOUNDVALUE(173)</f>
        <v>12940</v>
      </c>
      <c r="J160" s="82">
        <f>_xlfn.COMPOUNDVALUE(174)</f>
        <v>12721</v>
      </c>
      <c r="K160" s="81">
        <f>_xlfn.COMPOUNDVALUE(175)</f>
        <v>11708</v>
      </c>
      <c r="L160" s="79">
        <f>_xlfn.COMPOUNDVALUE(176)</f>
        <v>11107</v>
      </c>
      <c r="M160" s="84">
        <f>_xlfn.COMPOUNDVALUE(177)</f>
        <v>10156</v>
      </c>
      <c r="N160" s="78">
        <f>_xlfn.COMPOUNDVALUE(178)</f>
        <v>9529</v>
      </c>
      <c r="O160" s="80">
        <f>_xlfn.COMPOUNDVALUE(179)</f>
        <v>9257</v>
      </c>
    </row>
    <row r="161" spans="1:15" ht="15" outlineLevel="1">
      <c r="A161" s="122" t="s">
        <v>135</v>
      </c>
      <c r="B161" s="143">
        <f>B160/B156</f>
        <v>0.3697493874900375</v>
      </c>
      <c r="C161" s="144">
        <f aca="true" t="shared" si="19" ref="C161:O161">C160/C156</f>
        <v>0.3126141930599736</v>
      </c>
      <c r="D161" s="141">
        <f t="shared" si="19"/>
        <v>0.24650324441240087</v>
      </c>
      <c r="E161" s="142">
        <f t="shared" si="19"/>
        <v>0.2058118504908997</v>
      </c>
      <c r="F161" s="143">
        <f t="shared" si="19"/>
        <v>0.16747443260669984</v>
      </c>
      <c r="G161" s="141">
        <f t="shared" si="19"/>
        <v>0.13427290377550877</v>
      </c>
      <c r="H161" s="145">
        <f t="shared" si="19"/>
        <v>0.11556284997103689</v>
      </c>
      <c r="I161" s="139">
        <f t="shared" si="19"/>
        <v>0.09001613890589348</v>
      </c>
      <c r="J161" s="143">
        <f t="shared" si="19"/>
        <v>0.08728378035308729</v>
      </c>
      <c r="K161" s="145">
        <f t="shared" si="19"/>
        <v>0.07925698271076752</v>
      </c>
      <c r="L161" s="141">
        <f t="shared" si="19"/>
        <v>0.07447814337729915</v>
      </c>
      <c r="M161" s="142">
        <f t="shared" si="19"/>
        <v>0.06783011748048114</v>
      </c>
      <c r="N161" s="140">
        <f t="shared" si="19"/>
        <v>0.06431343434684304</v>
      </c>
      <c r="O161" s="139">
        <f t="shared" si="19"/>
        <v>0.062349296154105206</v>
      </c>
    </row>
    <row r="162" spans="1:15" ht="15" outlineLevel="1">
      <c r="A162" s="4" t="s">
        <v>166</v>
      </c>
      <c r="B162" s="119">
        <f>_xlfn.COMPOUNDVALUE(180)</f>
        <v>1</v>
      </c>
      <c r="C162" s="120">
        <f>_xlfn.COMPOUNDVALUE(181)</f>
        <v>1</v>
      </c>
      <c r="D162" s="117">
        <f>_xlfn.COMPOUNDVALUE(182)</f>
        <v>1</v>
      </c>
      <c r="E162" s="116">
        <f>_xlfn.COMPOUNDVALUE(183)</f>
        <v>1</v>
      </c>
      <c r="F162" s="119">
        <f>_xlfn.COMPOUNDVALUE(184)</f>
        <v>1</v>
      </c>
      <c r="G162" s="117">
        <f>_xlfn.COMPOUNDVALUE(185)</f>
        <v>1</v>
      </c>
      <c r="H162" s="118">
        <f>_xlfn.COMPOUNDVALUE(186)</f>
        <v>1</v>
      </c>
      <c r="I162" s="121">
        <f>_xlfn.COMPOUNDVALUE(187)</f>
        <v>1</v>
      </c>
      <c r="J162" s="119">
        <f>_xlfn.COMPOUNDVALUE(188)</f>
        <v>1</v>
      </c>
      <c r="K162" s="154">
        <f>_xlfn.COMPOUNDVALUE(189)</f>
        <v>1</v>
      </c>
      <c r="L162" s="176">
        <f>_xlfn.COMPOUNDVALUE(190)</f>
        <v>1</v>
      </c>
      <c r="M162" s="177">
        <f>_xlfn.COMPOUNDVALUE(191)</f>
        <v>1</v>
      </c>
      <c r="N162" s="115">
        <f>_xlfn.COMPOUNDVALUE(192)</f>
        <v>1</v>
      </c>
      <c r="O162" s="121">
        <f>_xlfn.COMPOUNDVALUE(193)</f>
        <v>1</v>
      </c>
    </row>
    <row r="163" spans="1:15" ht="15" outlineLevel="1">
      <c r="A163" s="4" t="s">
        <v>136</v>
      </c>
      <c r="B163" s="134">
        <v>0</v>
      </c>
      <c r="C163" s="135">
        <v>0</v>
      </c>
      <c r="D163" s="132">
        <v>0</v>
      </c>
      <c r="E163" s="136">
        <v>0</v>
      </c>
      <c r="F163" s="134">
        <v>0</v>
      </c>
      <c r="G163" s="132">
        <v>0</v>
      </c>
      <c r="H163" s="133">
        <v>0</v>
      </c>
      <c r="I163" s="131">
        <v>0</v>
      </c>
      <c r="J163" s="134">
        <v>0</v>
      </c>
      <c r="K163" s="160">
        <v>0</v>
      </c>
      <c r="L163" s="175">
        <v>0</v>
      </c>
      <c r="M163" s="161">
        <v>0</v>
      </c>
      <c r="N163" s="130">
        <v>0</v>
      </c>
      <c r="O163" s="131">
        <v>0</v>
      </c>
    </row>
    <row r="164" spans="1:15" ht="2.25" customHeight="1">
      <c r="A164" s="4"/>
      <c r="B164" s="134"/>
      <c r="C164" s="135"/>
      <c r="D164" s="132"/>
      <c r="E164" s="136"/>
      <c r="F164" s="134"/>
      <c r="G164" s="132"/>
      <c r="H164" s="133"/>
      <c r="I164" s="131"/>
      <c r="J164" s="134"/>
      <c r="K164" s="160"/>
      <c r="L164" s="175"/>
      <c r="M164" s="161"/>
      <c r="N164" s="130"/>
      <c r="O164" s="131"/>
    </row>
    <row r="165" spans="1:15" ht="15">
      <c r="A165" s="77" t="s">
        <v>134</v>
      </c>
      <c r="B165" s="82">
        <f>_xlfn.COMPOUNDVALUE(110)</f>
        <v>85404</v>
      </c>
      <c r="C165" s="83">
        <f>_xlfn.COMPOUNDVALUE(111)</f>
        <v>94431</v>
      </c>
      <c r="D165" s="79">
        <f>_xlfn.COMPOUNDVALUE(112)</f>
        <v>104510</v>
      </c>
      <c r="E165" s="84">
        <f>_xlfn.COMPOUNDVALUE(113)</f>
        <v>110659</v>
      </c>
      <c r="F165" s="82">
        <f>_xlfn.COMPOUNDVALUE(114)</f>
        <v>116979</v>
      </c>
      <c r="G165" s="79">
        <v>123960</v>
      </c>
      <c r="H165" s="79">
        <v>128254</v>
      </c>
      <c r="I165" s="80">
        <v>130812</v>
      </c>
      <c r="J165" s="82">
        <v>133022</v>
      </c>
      <c r="K165" s="81">
        <v>136014</v>
      </c>
      <c r="L165" s="79">
        <v>137561</v>
      </c>
      <c r="M165" s="84">
        <v>138298</v>
      </c>
      <c r="N165" s="78">
        <v>136702</v>
      </c>
      <c r="O165" s="80">
        <v>136838</v>
      </c>
    </row>
    <row r="166" spans="1:15" ht="15" outlineLevel="1">
      <c r="A166" s="122" t="s">
        <v>135</v>
      </c>
      <c r="B166" s="143">
        <f>B165/B156</f>
        <v>0.6302506125099625</v>
      </c>
      <c r="C166" s="144">
        <f aca="true" t="shared" si="20" ref="C166:O166">C165/C156</f>
        <v>0.6873858069400264</v>
      </c>
      <c r="D166" s="141">
        <f t="shared" si="20"/>
        <v>0.7534967555875991</v>
      </c>
      <c r="E166" s="142">
        <f t="shared" si="20"/>
        <v>0.7941881495091003</v>
      </c>
      <c r="F166" s="143">
        <f t="shared" si="20"/>
        <v>0.8325255673933002</v>
      </c>
      <c r="G166" s="141">
        <f t="shared" si="20"/>
        <v>0.8657270962244912</v>
      </c>
      <c r="H166" s="145">
        <f t="shared" si="20"/>
        <v>0.8844371500289632</v>
      </c>
      <c r="I166" s="139">
        <f t="shared" si="20"/>
        <v>0.9099838610941066</v>
      </c>
      <c r="J166" s="143">
        <f t="shared" si="20"/>
        <v>0.9127162196469127</v>
      </c>
      <c r="K166" s="145">
        <f t="shared" si="20"/>
        <v>0.9207430172892325</v>
      </c>
      <c r="L166" s="141">
        <f t="shared" si="20"/>
        <v>0.922417203666575</v>
      </c>
      <c r="M166" s="142">
        <f t="shared" si="20"/>
        <v>0.9236677419570285</v>
      </c>
      <c r="N166" s="140">
        <f t="shared" si="20"/>
        <v>0.9226335504336381</v>
      </c>
      <c r="O166" s="139">
        <f t="shared" si="20"/>
        <v>0.9216542062369503</v>
      </c>
    </row>
    <row r="167" spans="1:15" ht="15" outlineLevel="1">
      <c r="A167" s="4" t="s">
        <v>167</v>
      </c>
      <c r="B167" s="119">
        <f>_xlfn.COMPOUNDVALUE(115)</f>
        <v>0.5742588169172405</v>
      </c>
      <c r="C167" s="120">
        <f>_xlfn.COMPOUNDVALUE(116)</f>
        <v>0.5824252628903644</v>
      </c>
      <c r="D167" s="117">
        <f>_xlfn.COMPOUNDVALUE(117)</f>
        <v>0.5935891302267725</v>
      </c>
      <c r="E167" s="116">
        <f>_xlfn.COMPOUNDVALUE(118)</f>
        <v>0.5936073884636587</v>
      </c>
      <c r="F167" s="119">
        <f>_xlfn.COMPOUNDVALUE(119)</f>
        <v>0.5856008343377871</v>
      </c>
      <c r="G167" s="117">
        <f>_xlfn.COMPOUNDVALUE(120)</f>
        <v>0.5764843497902549</v>
      </c>
      <c r="H167" s="118">
        <f>_xlfn.COMPOUNDVALUE(121)</f>
        <v>0.5491368690255275</v>
      </c>
      <c r="I167" s="121">
        <f>_xlfn.COMPOUNDVALUE(122)</f>
        <v>0.5379170106718039</v>
      </c>
      <c r="J167" s="119">
        <f>_xlfn.COMPOUNDVALUE(123)</f>
        <v>0.5325735592608741</v>
      </c>
      <c r="K167" s="154">
        <f>_xlfn.COMPOUNDVALUE(124)</f>
        <v>0.5295925419442116</v>
      </c>
      <c r="L167" s="176">
        <f>_xlfn.COMPOUNDVALUE(125)</f>
        <v>0.5280130269480449</v>
      </c>
      <c r="M167" s="177">
        <f>_xlfn.COMPOUNDVALUE(126)</f>
        <v>0.5324082777769744</v>
      </c>
      <c r="N167" s="115">
        <f>_xlfn.COMPOUNDVALUE(127)</f>
        <v>0.5415209726265893</v>
      </c>
      <c r="O167" s="121">
        <f>_xlfn.COMPOUNDVALUE(128)</f>
        <v>0.5408512255367661</v>
      </c>
    </row>
    <row r="168" spans="1:15" ht="15" outlineLevel="1">
      <c r="A168" s="4" t="s">
        <v>168</v>
      </c>
      <c r="B168" s="119">
        <v>0.4257411830827596</v>
      </c>
      <c r="C168" s="120">
        <v>0.4175747371096356</v>
      </c>
      <c r="D168" s="117">
        <v>0.40641086977322743</v>
      </c>
      <c r="E168" s="116">
        <v>0.4063926115363414</v>
      </c>
      <c r="F168" s="119">
        <v>0.41439916566221285</v>
      </c>
      <c r="G168" s="117">
        <f>_xlfn.COMPOUNDVALUE(129)</f>
        <v>0.4235156502097451</v>
      </c>
      <c r="H168" s="118">
        <f>_xlfn.COMPOUNDVALUE(130)</f>
        <v>0.4508631309744725</v>
      </c>
      <c r="I168" s="121">
        <f>_xlfn.COMPOUNDVALUE(131)</f>
        <v>0.4620829893281962</v>
      </c>
      <c r="J168" s="119">
        <f>_xlfn.COMPOUNDVALUE(132)</f>
        <v>0.46742644073912587</v>
      </c>
      <c r="K168" s="154">
        <f>_xlfn.COMPOUNDVALUE(133)</f>
        <v>0.4704074580557884</v>
      </c>
      <c r="L168" s="176">
        <f>_xlfn.COMPOUNDVALUE(134)</f>
        <v>0.47198697305195514</v>
      </c>
      <c r="M168" s="177">
        <f>_xlfn.COMPOUNDVALUE(135)</f>
        <v>0.46759172222302564</v>
      </c>
      <c r="N168" s="115">
        <f>_xlfn.COMPOUNDVALUE(136)</f>
        <v>0.4584790273734108</v>
      </c>
      <c r="O168" s="121">
        <f>_xlfn.COMPOUNDVALUE(137)</f>
        <v>0.4591487744632339</v>
      </c>
    </row>
    <row r="169" spans="1:15" ht="3" customHeight="1">
      <c r="A169" s="5"/>
      <c r="B169" s="119"/>
      <c r="C169" s="120"/>
      <c r="D169" s="117"/>
      <c r="E169" s="116"/>
      <c r="F169" s="119"/>
      <c r="G169" s="117"/>
      <c r="H169" s="118"/>
      <c r="I169" s="121"/>
      <c r="J169" s="119"/>
      <c r="K169" s="154"/>
      <c r="L169" s="176"/>
      <c r="M169" s="177"/>
      <c r="N169" s="115"/>
      <c r="O169" s="121"/>
    </row>
    <row r="170" spans="1:15" ht="15">
      <c r="A170" s="218" t="s">
        <v>194</v>
      </c>
      <c r="B170" s="82">
        <v>0</v>
      </c>
      <c r="C170" s="83">
        <v>0</v>
      </c>
      <c r="D170" s="79">
        <v>0</v>
      </c>
      <c r="E170" s="84">
        <v>0</v>
      </c>
      <c r="F170" s="82">
        <v>0</v>
      </c>
      <c r="G170" s="79">
        <v>0</v>
      </c>
      <c r="H170" s="81">
        <v>0</v>
      </c>
      <c r="I170" s="80">
        <v>0</v>
      </c>
      <c r="J170" s="82">
        <v>0</v>
      </c>
      <c r="K170" s="221">
        <v>0</v>
      </c>
      <c r="L170" s="222">
        <f>_xlfn.COMPOUNDVALUE(102)</f>
        <v>463</v>
      </c>
      <c r="M170" s="223">
        <f>_xlfn.COMPOUNDVALUE(103)</f>
        <v>1273</v>
      </c>
      <c r="N170" s="78">
        <f>_xlfn.COMPOUNDVALUE(104)</f>
        <v>1934</v>
      </c>
      <c r="O170" s="80">
        <f>_xlfn.COMPOUNDVALUE(105)</f>
        <v>2375</v>
      </c>
    </row>
    <row r="171" spans="1:15" ht="15" outlineLevel="1">
      <c r="A171" s="122" t="s">
        <v>135</v>
      </c>
      <c r="B171" s="224">
        <f aca="true" t="shared" si="21" ref="B171:O171">B170/B156</f>
        <v>0</v>
      </c>
      <c r="C171" s="150">
        <f t="shared" si="21"/>
        <v>0</v>
      </c>
      <c r="D171" s="147">
        <f t="shared" si="21"/>
        <v>0</v>
      </c>
      <c r="E171" s="149">
        <f t="shared" si="21"/>
        <v>0</v>
      </c>
      <c r="F171" s="224">
        <f t="shared" si="21"/>
        <v>0</v>
      </c>
      <c r="G171" s="147">
        <f t="shared" si="21"/>
        <v>0</v>
      </c>
      <c r="H171" s="148">
        <f t="shared" si="21"/>
        <v>0</v>
      </c>
      <c r="I171" s="146">
        <f t="shared" si="21"/>
        <v>0</v>
      </c>
      <c r="J171" s="224">
        <f t="shared" si="21"/>
        <v>0</v>
      </c>
      <c r="K171" s="225">
        <f t="shared" si="21"/>
        <v>0</v>
      </c>
      <c r="L171" s="219">
        <f t="shared" si="21"/>
        <v>0.0031046529561258225</v>
      </c>
      <c r="M171" s="220">
        <f t="shared" si="21"/>
        <v>0.0085021405624904</v>
      </c>
      <c r="N171" s="140">
        <f t="shared" si="21"/>
        <v>0.01305301521951878</v>
      </c>
      <c r="O171" s="139">
        <f t="shared" si="21"/>
        <v>0.015996497608944567</v>
      </c>
    </row>
    <row r="172" spans="1:15" ht="15" outlineLevel="1">
      <c r="A172" s="4" t="s">
        <v>167</v>
      </c>
      <c r="B172" s="297">
        <v>0</v>
      </c>
      <c r="C172" s="299">
        <v>0</v>
      </c>
      <c r="D172" s="300">
        <v>0</v>
      </c>
      <c r="E172" s="301">
        <v>0</v>
      </c>
      <c r="F172" s="297">
        <v>0</v>
      </c>
      <c r="G172" s="300">
        <v>0</v>
      </c>
      <c r="H172" s="302">
        <v>0</v>
      </c>
      <c r="I172" s="296">
        <v>0</v>
      </c>
      <c r="J172" s="297">
        <v>0</v>
      </c>
      <c r="K172" s="298">
        <v>0</v>
      </c>
      <c r="L172" s="175">
        <v>0</v>
      </c>
      <c r="M172" s="161">
        <v>0</v>
      </c>
      <c r="N172" s="130">
        <v>0</v>
      </c>
      <c r="O172" s="131">
        <v>0</v>
      </c>
    </row>
    <row r="173" spans="1:15" ht="15" outlineLevel="1">
      <c r="A173" s="4" t="s">
        <v>168</v>
      </c>
      <c r="B173" s="297">
        <v>0</v>
      </c>
      <c r="C173" s="299">
        <v>0</v>
      </c>
      <c r="D173" s="300">
        <v>0</v>
      </c>
      <c r="E173" s="301">
        <v>0</v>
      </c>
      <c r="F173" s="297">
        <v>0</v>
      </c>
      <c r="G173" s="300">
        <v>0</v>
      </c>
      <c r="H173" s="302">
        <v>0</v>
      </c>
      <c r="I173" s="296">
        <v>0</v>
      </c>
      <c r="J173" s="297">
        <v>0</v>
      </c>
      <c r="K173" s="298">
        <v>0</v>
      </c>
      <c r="L173" s="176">
        <f>_xlfn.COMPOUNDVALUE(106)</f>
        <v>1</v>
      </c>
      <c r="M173" s="177">
        <f>_xlfn.COMPOUNDVALUE(107)</f>
        <v>1</v>
      </c>
      <c r="N173" s="115">
        <f>_xlfn.COMPOUNDVALUE(108)</f>
        <v>1</v>
      </c>
      <c r="O173" s="121">
        <f>_xlfn.COMPOUNDVALUE(109)</f>
        <v>1</v>
      </c>
    </row>
    <row r="174" spans="1:15" ht="4.5" customHeight="1">
      <c r="A174" s="5"/>
      <c r="B174" s="38"/>
      <c r="C174" s="32"/>
      <c r="D174" s="24"/>
      <c r="E174" s="27"/>
      <c r="F174" s="38"/>
      <c r="G174" s="24"/>
      <c r="H174" s="25"/>
      <c r="I174" s="23"/>
      <c r="J174" s="38"/>
      <c r="K174" s="113"/>
      <c r="L174" s="174"/>
      <c r="M174" s="159"/>
      <c r="N174" s="22"/>
      <c r="O174" s="23"/>
    </row>
    <row r="175" spans="1:15" ht="15">
      <c r="A175" s="114" t="s">
        <v>127</v>
      </c>
      <c r="B175" s="37">
        <f>_xlfn.COMPOUNDVALUE(152)</f>
        <v>32359</v>
      </c>
      <c r="C175" s="31">
        <f>_xlfn.COMPOUNDVALUE(153)</f>
        <v>37808</v>
      </c>
      <c r="D175" s="14">
        <f>_xlfn.COMPOUNDVALUE(154)</f>
        <v>45476</v>
      </c>
      <c r="E175" s="50">
        <f>_xlfn.COMPOUNDVALUE(155)</f>
        <v>46182</v>
      </c>
      <c r="F175" s="37">
        <f>_xlfn.COMPOUNDVALUE(156)</f>
        <v>52472</v>
      </c>
      <c r="G175" s="14">
        <f>_xlfn.COMPOUNDVALUE(157)</f>
        <v>54630</v>
      </c>
      <c r="H175" s="20">
        <f>_xlfn.COMPOUNDVALUE(158)</f>
        <v>61363</v>
      </c>
      <c r="I175" s="13">
        <f>_xlfn.COMPOUNDVALUE(159)</f>
        <v>67387</v>
      </c>
      <c r="J175" s="37">
        <f>_xlfn.COMPOUNDVALUE(160)</f>
        <v>59417</v>
      </c>
      <c r="K175" s="20">
        <f>_xlfn.COMPOUNDVALUE(161)</f>
        <v>60213</v>
      </c>
      <c r="L175" s="14">
        <f>_xlfn.COMPOUNDVALUE(162)</f>
        <v>60801</v>
      </c>
      <c r="M175" s="50">
        <f>_xlfn.COMPOUNDVALUE(163)</f>
        <v>61111</v>
      </c>
      <c r="N175" s="12">
        <f>_xlfn.COMPOUNDVALUE(164)</f>
        <v>66043</v>
      </c>
      <c r="O175" s="13">
        <f>_xlfn.COMPOUNDVALUE(165)</f>
        <v>69470</v>
      </c>
    </row>
    <row r="176" spans="1:15" ht="15">
      <c r="A176" s="122" t="s">
        <v>221</v>
      </c>
      <c r="B176" s="143">
        <f>((B175/(B165+B170)))</f>
        <v>0.37889326026883985</v>
      </c>
      <c r="C176" s="144">
        <f aca="true" t="shared" si="22" ref="C176:O176">((C175/(C165+C170)))</f>
        <v>0.40037699484279526</v>
      </c>
      <c r="D176" s="141">
        <f t="shared" si="22"/>
        <v>0.43513539374222565</v>
      </c>
      <c r="E176" s="142">
        <f t="shared" si="22"/>
        <v>0.4173361407567392</v>
      </c>
      <c r="F176" s="143">
        <f t="shared" si="22"/>
        <v>0.44855914309405964</v>
      </c>
      <c r="G176" s="141">
        <f t="shared" si="22"/>
        <v>0.4407066795740561</v>
      </c>
      <c r="H176" s="145">
        <f t="shared" si="22"/>
        <v>0.4784490152353923</v>
      </c>
      <c r="I176" s="139">
        <f t="shared" si="22"/>
        <v>0.515143870592912</v>
      </c>
      <c r="J176" s="143">
        <f t="shared" si="22"/>
        <v>0.4466704755604336</v>
      </c>
      <c r="K176" s="145">
        <f t="shared" si="22"/>
        <v>0.44269707530107194</v>
      </c>
      <c r="L176" s="141">
        <f t="shared" si="22"/>
        <v>0.44051034602677797</v>
      </c>
      <c r="M176" s="142">
        <f t="shared" si="22"/>
        <v>0.4378488367927435</v>
      </c>
      <c r="N176" s="140">
        <f t="shared" si="22"/>
        <v>0.4763769872183271</v>
      </c>
      <c r="O176" s="139">
        <f t="shared" si="22"/>
        <v>0.4990194881225173</v>
      </c>
    </row>
    <row r="177" spans="1:15" ht="3" customHeight="1">
      <c r="A177" s="5"/>
      <c r="B177" s="119"/>
      <c r="C177" s="120"/>
      <c r="D177" s="117"/>
      <c r="E177" s="116"/>
      <c r="F177" s="119"/>
      <c r="G177" s="117"/>
      <c r="H177" s="118"/>
      <c r="I177" s="121"/>
      <c r="J177" s="119"/>
      <c r="K177" s="118"/>
      <c r="L177" s="117"/>
      <c r="M177" s="116"/>
      <c r="N177" s="115"/>
      <c r="O177" s="121"/>
    </row>
    <row r="178" spans="1:15" ht="15">
      <c r="A178" s="8" t="s">
        <v>13</v>
      </c>
      <c r="B178" s="89">
        <f>_xlfn.COMPOUNDVALUE(138)</f>
        <v>49.444733550619446</v>
      </c>
      <c r="C178" s="90">
        <f>_xlfn.COMPOUNDVALUE(139)</f>
        <v>42.49575462191033</v>
      </c>
      <c r="D178" s="86">
        <f>_xlfn.COMPOUNDVALUE(140)</f>
        <v>39.6678318005484</v>
      </c>
      <c r="E178" s="91">
        <f>_xlfn.COMPOUNDVALUE(141)</f>
        <v>42.4520349882749</v>
      </c>
      <c r="F178" s="89">
        <f>_xlfn.COMPOUNDVALUE(142)</f>
        <v>41.391946313521316</v>
      </c>
      <c r="G178" s="86">
        <f>_xlfn.COMPOUNDVALUE(143)</f>
        <v>43.01245913774203</v>
      </c>
      <c r="H178" s="88">
        <f>_xlfn.COMPOUNDVALUE(144)</f>
        <v>42.41402320626792</v>
      </c>
      <c r="I178" s="87">
        <f>_xlfn.COMPOUNDVALUE(145)</f>
        <v>42.44180721973653</v>
      </c>
      <c r="J178" s="89">
        <f>_xlfn.COMPOUNDVALUE(146)</f>
        <v>42.149109863728214</v>
      </c>
      <c r="K178" s="88">
        <f>_xlfn.COMPOUNDVALUE(147)</f>
        <v>42.78944419266352</v>
      </c>
      <c r="L178" s="86">
        <f>_xlfn.COMPOUNDVALUE(148)</f>
        <v>42.77422185391422</v>
      </c>
      <c r="M178" s="91">
        <f>_xlfn.COMPOUNDVALUE(149)</f>
        <v>41.331893139885835</v>
      </c>
      <c r="N178" s="85">
        <f>_xlfn.COMPOUNDVALUE(150)</f>
        <v>42.427172800880854</v>
      </c>
      <c r="O178" s="87">
        <f>_xlfn.COMPOUNDVALUE(151)</f>
        <v>42.29972053196689</v>
      </c>
    </row>
    <row r="179" spans="1:15" ht="5.25" customHeight="1">
      <c r="A179" s="5"/>
      <c r="B179" s="38"/>
      <c r="C179" s="32"/>
      <c r="D179" s="24"/>
      <c r="E179" s="27"/>
      <c r="F179" s="38"/>
      <c r="G179" s="24"/>
      <c r="H179" s="25"/>
      <c r="I179" s="23"/>
      <c r="J179" s="38"/>
      <c r="K179" s="113"/>
      <c r="L179" s="174"/>
      <c r="M179" s="159"/>
      <c r="N179" s="22"/>
      <c r="O179" s="23"/>
    </row>
    <row r="180" spans="1:15" ht="15">
      <c r="A180" s="303" t="s">
        <v>9</v>
      </c>
      <c r="B180" s="304"/>
      <c r="C180" s="304"/>
      <c r="D180" s="304"/>
      <c r="E180" s="304"/>
      <c r="F180" s="304"/>
      <c r="G180" s="304"/>
      <c r="H180" s="304"/>
      <c r="I180" s="304"/>
      <c r="J180" s="304"/>
      <c r="K180" s="304"/>
      <c r="L180" s="304"/>
      <c r="M180" s="304"/>
      <c r="N180" s="304"/>
      <c r="O180" s="305"/>
    </row>
    <row r="181" spans="1:15" ht="4.5" customHeight="1">
      <c r="A181" s="9"/>
      <c r="B181" s="39"/>
      <c r="C181" s="33"/>
      <c r="D181" s="17"/>
      <c r="E181" s="51"/>
      <c r="F181" s="39"/>
      <c r="G181" s="17"/>
      <c r="H181" s="21"/>
      <c r="I181" s="16"/>
      <c r="J181" s="39"/>
      <c r="K181" s="113"/>
      <c r="L181" s="174"/>
      <c r="M181" s="159"/>
      <c r="N181" s="15"/>
      <c r="O181" s="16"/>
    </row>
    <row r="182" spans="1:15" ht="15">
      <c r="A182" s="8" t="s">
        <v>15</v>
      </c>
      <c r="B182" s="37">
        <f>B183+B187+B191+B195</f>
        <v>10559940</v>
      </c>
      <c r="C182" s="31">
        <f aca="true" t="shared" si="23" ref="C182:O182">C183+C187+C191+C195</f>
        <v>10990990</v>
      </c>
      <c r="D182" s="14">
        <f t="shared" si="23"/>
        <v>10573024</v>
      </c>
      <c r="E182" s="50">
        <f t="shared" si="23"/>
        <v>12983954</v>
      </c>
      <c r="F182" s="37">
        <f t="shared" si="23"/>
        <v>11000112</v>
      </c>
      <c r="G182" s="14">
        <f t="shared" si="23"/>
        <v>10844848</v>
      </c>
      <c r="H182" s="14">
        <f t="shared" si="23"/>
        <v>10767250</v>
      </c>
      <c r="I182" s="13">
        <f t="shared" si="23"/>
        <v>12403804</v>
      </c>
      <c r="J182" s="37">
        <f t="shared" si="23"/>
        <v>10709237</v>
      </c>
      <c r="K182" s="20">
        <f t="shared" si="23"/>
        <v>11062239</v>
      </c>
      <c r="L182" s="14">
        <f t="shared" si="23"/>
        <v>10462550</v>
      </c>
      <c r="M182" s="50">
        <f t="shared" si="23"/>
        <v>12147842</v>
      </c>
      <c r="N182" s="12">
        <f t="shared" si="23"/>
        <v>10648168</v>
      </c>
      <c r="O182" s="13">
        <f t="shared" si="23"/>
        <v>10037592</v>
      </c>
    </row>
    <row r="183" spans="1:15" ht="15">
      <c r="A183" s="77" t="s">
        <v>26</v>
      </c>
      <c r="B183" s="82">
        <f>B184+B185+B186</f>
        <v>3330559</v>
      </c>
      <c r="C183" s="83">
        <f aca="true" t="shared" si="24" ref="C183:O183">C184+C185+C186</f>
        <v>3615822</v>
      </c>
      <c r="D183" s="79">
        <f t="shared" si="24"/>
        <v>3773465</v>
      </c>
      <c r="E183" s="84">
        <f t="shared" si="24"/>
        <v>5413714</v>
      </c>
      <c r="F183" s="82">
        <f t="shared" si="24"/>
        <v>3664531</v>
      </c>
      <c r="G183" s="79">
        <f t="shared" si="24"/>
        <v>4211574</v>
      </c>
      <c r="H183" s="81">
        <f t="shared" si="24"/>
        <v>3933828</v>
      </c>
      <c r="I183" s="80">
        <f t="shared" si="24"/>
        <v>5432676</v>
      </c>
      <c r="J183" s="82">
        <f t="shared" si="24"/>
        <v>3713545</v>
      </c>
      <c r="K183" s="79">
        <f t="shared" si="24"/>
        <v>3980680</v>
      </c>
      <c r="L183" s="79">
        <f t="shared" si="24"/>
        <v>3968651</v>
      </c>
      <c r="M183" s="84">
        <f t="shared" si="24"/>
        <v>5483778</v>
      </c>
      <c r="N183" s="78">
        <f t="shared" si="24"/>
        <v>3876699</v>
      </c>
      <c r="O183" s="80">
        <f t="shared" si="24"/>
        <v>3956113</v>
      </c>
    </row>
    <row r="184" spans="1:15" ht="15" outlineLevel="1">
      <c r="A184" s="4" t="s">
        <v>218</v>
      </c>
      <c r="B184" s="38">
        <v>1883129</v>
      </c>
      <c r="C184" s="32">
        <v>1978913</v>
      </c>
      <c r="D184" s="24">
        <v>1913533</v>
      </c>
      <c r="E184" s="27">
        <v>2887046</v>
      </c>
      <c r="F184" s="38">
        <v>1927048</v>
      </c>
      <c r="G184" s="24">
        <f>_xlfn.COMPOUNDVALUE(566)</f>
        <v>2395836</v>
      </c>
      <c r="H184" s="25">
        <f>_xlfn.COMPOUNDVALUE(567)</f>
        <v>2093904</v>
      </c>
      <c r="I184" s="23">
        <f>_xlfn.COMPOUNDVALUE(568)</f>
        <v>3008301</v>
      </c>
      <c r="J184" s="38">
        <f>_xlfn.COMPOUNDVALUE(569)</f>
        <v>2100580</v>
      </c>
      <c r="K184" s="24">
        <f>_xlfn.COMPOUNDVALUE(570)</f>
        <v>2157714</v>
      </c>
      <c r="L184" s="24">
        <f>_xlfn.COMPOUNDVALUE(571)</f>
        <v>1972962</v>
      </c>
      <c r="M184" s="27">
        <f>_xlfn.COMPOUNDVALUE(572)</f>
        <v>2974673</v>
      </c>
      <c r="N184" s="22">
        <f>_xlfn.COMPOUNDVALUE(573)</f>
        <v>2102624</v>
      </c>
      <c r="O184" s="23">
        <v>2140492</v>
      </c>
    </row>
    <row r="185" spans="1:15" ht="15" outlineLevel="1">
      <c r="A185" s="4" t="s">
        <v>220</v>
      </c>
      <c r="B185" s="38">
        <v>449020</v>
      </c>
      <c r="C185" s="32">
        <v>676446</v>
      </c>
      <c r="D185" s="24">
        <v>767825</v>
      </c>
      <c r="E185" s="27">
        <v>914697</v>
      </c>
      <c r="F185" s="38">
        <v>419954</v>
      </c>
      <c r="G185" s="24">
        <f>_xlfn.COMPOUNDVALUE(574)</f>
        <v>585627</v>
      </c>
      <c r="H185" s="25">
        <f>_xlfn.COMPOUNDVALUE(575)</f>
        <v>702946</v>
      </c>
      <c r="I185" s="23">
        <f>_xlfn.COMPOUNDVALUE(576)</f>
        <v>872717</v>
      </c>
      <c r="J185" s="38">
        <f>_xlfn.COMPOUNDVALUE(577)</f>
        <v>366198</v>
      </c>
      <c r="K185" s="24">
        <f>_xlfn.COMPOUNDVALUE(578)</f>
        <v>549943</v>
      </c>
      <c r="L185" s="24">
        <f>_xlfn.COMPOUNDVALUE(579)</f>
        <v>874260</v>
      </c>
      <c r="M185" s="27">
        <f>_xlfn.COMPOUNDVALUE(580)</f>
        <v>1038478</v>
      </c>
      <c r="N185" s="22">
        <f>_xlfn.COMPOUNDVALUE(581)</f>
        <v>513593</v>
      </c>
      <c r="O185" s="23">
        <v>650820</v>
      </c>
    </row>
    <row r="186" spans="1:15" ht="15" outlineLevel="1">
      <c r="A186" s="4" t="s">
        <v>219</v>
      </c>
      <c r="B186" s="38">
        <v>998410</v>
      </c>
      <c r="C186" s="32">
        <v>960463</v>
      </c>
      <c r="D186" s="24">
        <v>1092107</v>
      </c>
      <c r="E186" s="27">
        <v>1611971</v>
      </c>
      <c r="F186" s="38">
        <v>1317529</v>
      </c>
      <c r="G186" s="24">
        <f>_xlfn.COMPOUNDVALUE(582)</f>
        <v>1230111</v>
      </c>
      <c r="H186" s="25">
        <f>_xlfn.COMPOUNDVALUE(583)</f>
        <v>1136978</v>
      </c>
      <c r="I186" s="23">
        <f>_xlfn.COMPOUNDVALUE(584)</f>
        <v>1551658</v>
      </c>
      <c r="J186" s="38">
        <f>_xlfn.COMPOUNDVALUE(585)</f>
        <v>1246767</v>
      </c>
      <c r="K186" s="24">
        <f>_xlfn.COMPOUNDVALUE(586)</f>
        <v>1273023</v>
      </c>
      <c r="L186" s="24">
        <f>_xlfn.COMPOUNDVALUE(587)</f>
        <v>1121429</v>
      </c>
      <c r="M186" s="27">
        <f>_xlfn.COMPOUNDVALUE(588)</f>
        <v>1470627</v>
      </c>
      <c r="N186" s="22">
        <f>_xlfn.COMPOUNDVALUE(589)</f>
        <v>1260482</v>
      </c>
      <c r="O186" s="23">
        <v>1164801</v>
      </c>
    </row>
    <row r="187" spans="1:15" ht="15">
      <c r="A187" s="77" t="s">
        <v>27</v>
      </c>
      <c r="B187" s="82">
        <f aca="true" t="shared" si="25" ref="B187:O187">B188+B189+B190</f>
        <v>6952090</v>
      </c>
      <c r="C187" s="83">
        <f t="shared" si="25"/>
        <v>7100133</v>
      </c>
      <c r="D187" s="79">
        <f t="shared" si="25"/>
        <v>6535085</v>
      </c>
      <c r="E187" s="84">
        <f t="shared" si="25"/>
        <v>7294353</v>
      </c>
      <c r="F187" s="82">
        <f t="shared" si="25"/>
        <v>7054812</v>
      </c>
      <c r="G187" s="79">
        <f t="shared" si="25"/>
        <v>6335919</v>
      </c>
      <c r="H187" s="81">
        <f t="shared" si="25"/>
        <v>6517349</v>
      </c>
      <c r="I187" s="80">
        <f t="shared" si="25"/>
        <v>6633110</v>
      </c>
      <c r="J187" s="82">
        <f t="shared" si="25"/>
        <v>6685740</v>
      </c>
      <c r="K187" s="79">
        <f t="shared" si="25"/>
        <v>6756466</v>
      </c>
      <c r="L187" s="79">
        <f t="shared" si="25"/>
        <v>6186728</v>
      </c>
      <c r="M187" s="84">
        <f t="shared" si="25"/>
        <v>6341039</v>
      </c>
      <c r="N187" s="78">
        <f t="shared" si="25"/>
        <v>6443836</v>
      </c>
      <c r="O187" s="80">
        <f t="shared" si="25"/>
        <v>5747750</v>
      </c>
    </row>
    <row r="188" spans="1:15" ht="15" outlineLevel="1">
      <c r="A188" s="4" t="s">
        <v>218</v>
      </c>
      <c r="B188" s="38">
        <f>_xlfn.COMPOUNDVALUE(590)</f>
        <v>6845661</v>
      </c>
      <c r="C188" s="32">
        <f>_xlfn.COMPOUNDVALUE(591)</f>
        <v>7002492</v>
      </c>
      <c r="D188" s="24">
        <f>_xlfn.COMPOUNDVALUE(592)</f>
        <v>6415784</v>
      </c>
      <c r="E188" s="27">
        <f>_xlfn.COMPOUNDVALUE(593)</f>
        <v>7158006</v>
      </c>
      <c r="F188" s="38">
        <f>_xlfn.COMPOUNDVALUE(594)</f>
        <v>6943788</v>
      </c>
      <c r="G188" s="24">
        <f>_xlfn.COMPOUNDVALUE(595)</f>
        <v>6246886</v>
      </c>
      <c r="H188" s="25">
        <f>_xlfn.COMPOUNDVALUE(596)</f>
        <v>6332064</v>
      </c>
      <c r="I188" s="23">
        <f>_xlfn.COMPOUNDVALUE(597)</f>
        <v>6483009</v>
      </c>
      <c r="J188" s="38">
        <f>_xlfn.COMPOUNDVALUE(598)</f>
        <v>6553343</v>
      </c>
      <c r="K188" s="24">
        <f>_xlfn.COMPOUNDVALUE(599)</f>
        <v>6614092</v>
      </c>
      <c r="L188" s="24">
        <f>_xlfn.COMPOUNDVALUE(600)</f>
        <v>6070788</v>
      </c>
      <c r="M188" s="27">
        <f>_xlfn.COMPOUNDVALUE(601)</f>
        <v>6247944</v>
      </c>
      <c r="N188" s="22">
        <f>_xlfn.COMPOUNDVALUE(602)</f>
        <v>6358864</v>
      </c>
      <c r="O188" s="23">
        <v>5665946</v>
      </c>
    </row>
    <row r="189" spans="1:15" ht="15" outlineLevel="1">
      <c r="A189" s="4" t="s">
        <v>220</v>
      </c>
      <c r="B189" s="38">
        <f>_xlfn.COMPOUNDVALUE(603)</f>
        <v>106429</v>
      </c>
      <c r="C189" s="32">
        <f>_xlfn.COMPOUNDVALUE(604)</f>
        <v>97641</v>
      </c>
      <c r="D189" s="24">
        <f>_xlfn.COMPOUNDVALUE(605)</f>
        <v>119301</v>
      </c>
      <c r="E189" s="27">
        <f>_xlfn.COMPOUNDVALUE(606)</f>
        <v>136347</v>
      </c>
      <c r="F189" s="38">
        <f>_xlfn.COMPOUNDVALUE(607)</f>
        <v>111024</v>
      </c>
      <c r="G189" s="24">
        <f>_xlfn.COMPOUNDVALUE(608)</f>
        <v>89033</v>
      </c>
      <c r="H189" s="25">
        <f>_xlfn.COMPOUNDVALUE(609)</f>
        <v>185285</v>
      </c>
      <c r="I189" s="23">
        <f>_xlfn.COMPOUNDVALUE(610)</f>
        <v>150101</v>
      </c>
      <c r="J189" s="38">
        <f>_xlfn.COMPOUNDVALUE(611)</f>
        <v>132397</v>
      </c>
      <c r="K189" s="24">
        <f>_xlfn.COMPOUNDVALUE(612)</f>
        <v>142374</v>
      </c>
      <c r="L189" s="24">
        <f>_xlfn.COMPOUNDVALUE(613)</f>
        <v>115940</v>
      </c>
      <c r="M189" s="27">
        <f>_xlfn.COMPOUNDVALUE(614)</f>
        <v>93095</v>
      </c>
      <c r="N189" s="22">
        <f>_xlfn.COMPOUNDVALUE(615)</f>
        <v>84972</v>
      </c>
      <c r="O189" s="23">
        <f>_xlfn.COMPOUNDVALUE(616)</f>
        <v>81804</v>
      </c>
    </row>
    <row r="190" spans="1:15" ht="15" outlineLevel="1">
      <c r="A190" s="4" t="s">
        <v>219</v>
      </c>
      <c r="B190" s="38">
        <v>0</v>
      </c>
      <c r="C190" s="32">
        <v>0</v>
      </c>
      <c r="D190" s="24">
        <v>0</v>
      </c>
      <c r="E190" s="27">
        <v>0</v>
      </c>
      <c r="F190" s="38">
        <v>0</v>
      </c>
      <c r="G190" s="24">
        <v>0</v>
      </c>
      <c r="H190" s="25">
        <v>0</v>
      </c>
      <c r="I190" s="23">
        <v>0</v>
      </c>
      <c r="J190" s="38">
        <v>0</v>
      </c>
      <c r="K190" s="24">
        <v>0</v>
      </c>
      <c r="L190" s="24">
        <v>0</v>
      </c>
      <c r="M190" s="27">
        <v>0</v>
      </c>
      <c r="N190" s="22">
        <v>0</v>
      </c>
      <c r="O190" s="23">
        <v>0</v>
      </c>
    </row>
    <row r="191" spans="1:15" ht="15">
      <c r="A191" s="77" t="s">
        <v>28</v>
      </c>
      <c r="B191" s="82">
        <f aca="true" t="shared" si="26" ref="B191:O191">B192+B193+B194</f>
        <v>211990</v>
      </c>
      <c r="C191" s="83">
        <f t="shared" si="26"/>
        <v>212297</v>
      </c>
      <c r="D191" s="79">
        <f t="shared" si="26"/>
        <v>204930</v>
      </c>
      <c r="E191" s="84">
        <f t="shared" si="26"/>
        <v>220849</v>
      </c>
      <c r="F191" s="78">
        <f t="shared" si="26"/>
        <v>230357</v>
      </c>
      <c r="G191" s="79">
        <f t="shared" si="26"/>
        <v>224466</v>
      </c>
      <c r="H191" s="81">
        <f t="shared" si="26"/>
        <v>226316</v>
      </c>
      <c r="I191" s="80">
        <f t="shared" si="26"/>
        <v>263310</v>
      </c>
      <c r="J191" s="82">
        <f t="shared" si="26"/>
        <v>240053</v>
      </c>
      <c r="K191" s="79">
        <f t="shared" si="26"/>
        <v>253107</v>
      </c>
      <c r="L191" s="79">
        <f t="shared" si="26"/>
        <v>238653</v>
      </c>
      <c r="M191" s="84">
        <f t="shared" si="26"/>
        <v>250510</v>
      </c>
      <c r="N191" s="78">
        <f t="shared" si="26"/>
        <v>259206</v>
      </c>
      <c r="O191" s="80">
        <f t="shared" si="26"/>
        <v>268378</v>
      </c>
    </row>
    <row r="192" spans="1:15" ht="15" outlineLevel="1">
      <c r="A192" s="4" t="s">
        <v>218</v>
      </c>
      <c r="B192" s="22">
        <f>_xlfn.COMPOUNDVALUE(617)</f>
        <v>117068</v>
      </c>
      <c r="C192" s="24">
        <f>_xlfn.COMPOUNDVALUE(618)</f>
        <v>114139</v>
      </c>
      <c r="D192" s="24">
        <f>_xlfn.COMPOUNDVALUE(619)</f>
        <v>109664</v>
      </c>
      <c r="E192" s="27">
        <f>_xlfn.COMPOUNDVALUE(620)</f>
        <v>108820</v>
      </c>
      <c r="F192" s="25">
        <f>_xlfn.COMPOUNDVALUE(621)</f>
        <v>118695</v>
      </c>
      <c r="G192" s="24">
        <f>_xlfn.COMPOUNDVALUE(622)</f>
        <v>116743</v>
      </c>
      <c r="H192" s="32">
        <f>_xlfn.COMPOUNDVALUE(623)</f>
        <v>121393</v>
      </c>
      <c r="I192" s="27">
        <f>_xlfn.COMPOUNDVALUE(624)</f>
        <v>140352</v>
      </c>
      <c r="J192" s="38">
        <f>_xlfn.COMPOUNDVALUE(625)</f>
        <v>121191</v>
      </c>
      <c r="K192" s="24">
        <f>_xlfn.COMPOUNDVALUE(626)</f>
        <v>129185</v>
      </c>
      <c r="L192" s="24">
        <f>_xlfn.COMPOUNDVALUE(627)</f>
        <v>117209</v>
      </c>
      <c r="M192" s="25">
        <f>_xlfn.COMPOUNDVALUE(628)</f>
        <v>111409</v>
      </c>
      <c r="N192" s="22">
        <f>_xlfn.COMPOUNDVALUE(629)</f>
        <v>125032</v>
      </c>
      <c r="O192" s="23">
        <f>_xlfn.COMPOUNDVALUE(630)</f>
        <v>126654</v>
      </c>
    </row>
    <row r="193" spans="1:15" ht="15" outlineLevel="1">
      <c r="A193" s="4" t="s">
        <v>220</v>
      </c>
      <c r="B193" s="22">
        <f>_xlfn.COMPOUNDVALUE(631)</f>
        <v>30254</v>
      </c>
      <c r="C193" s="24">
        <f>_xlfn.COMPOUNDVALUE(632)</f>
        <v>30327</v>
      </c>
      <c r="D193" s="24">
        <f>_xlfn.COMPOUNDVALUE(633)</f>
        <v>29306</v>
      </c>
      <c r="E193" s="27">
        <f>_xlfn.COMPOUNDVALUE(634)</f>
        <v>32031</v>
      </c>
      <c r="F193" s="25">
        <f>_xlfn.COMPOUNDVALUE(635)</f>
        <v>31494</v>
      </c>
      <c r="G193" s="24">
        <f>_xlfn.COMPOUNDVALUE(636)</f>
        <v>33277</v>
      </c>
      <c r="H193" s="32">
        <f>_xlfn.COMPOUNDVALUE(637)</f>
        <v>32097</v>
      </c>
      <c r="I193" s="27">
        <f>_xlfn.COMPOUNDVALUE(638)</f>
        <v>35196</v>
      </c>
      <c r="J193" s="38">
        <f>_xlfn.COMPOUNDVALUE(639)</f>
        <v>33155</v>
      </c>
      <c r="K193" s="24">
        <f>_xlfn.COMPOUNDVALUE(640)</f>
        <v>33624</v>
      </c>
      <c r="L193" s="24">
        <f>_xlfn.COMPOUNDVALUE(641)</f>
        <v>34571</v>
      </c>
      <c r="M193" s="25">
        <f>_xlfn.COMPOUNDVALUE(642)</f>
        <v>38116</v>
      </c>
      <c r="N193" s="22">
        <f>_xlfn.COMPOUNDVALUE(643)</f>
        <v>37970</v>
      </c>
      <c r="O193" s="23">
        <f>_xlfn.COMPOUNDVALUE(644)</f>
        <v>38358</v>
      </c>
    </row>
    <row r="194" spans="1:15" ht="15" outlineLevel="1">
      <c r="A194" s="4" t="s">
        <v>219</v>
      </c>
      <c r="B194" s="22">
        <f>_xlfn.COMPOUNDVALUE(645)</f>
        <v>64668</v>
      </c>
      <c r="C194" s="24">
        <f>_xlfn.COMPOUNDVALUE(646)</f>
        <v>67831</v>
      </c>
      <c r="D194" s="24">
        <f>_xlfn.COMPOUNDVALUE(647)</f>
        <v>65960</v>
      </c>
      <c r="E194" s="27">
        <f>_xlfn.COMPOUNDVALUE(648)</f>
        <v>79998</v>
      </c>
      <c r="F194" s="25">
        <f>_xlfn.COMPOUNDVALUE(649)</f>
        <v>80168</v>
      </c>
      <c r="G194" s="24">
        <f>_xlfn.COMPOUNDVALUE(650)</f>
        <v>74446</v>
      </c>
      <c r="H194" s="32">
        <f>_xlfn.COMPOUNDVALUE(651)</f>
        <v>72826</v>
      </c>
      <c r="I194" s="27">
        <f>_xlfn.COMPOUNDVALUE(652)</f>
        <v>87762</v>
      </c>
      <c r="J194" s="38">
        <f>_xlfn.COMPOUNDVALUE(653)</f>
        <v>85707</v>
      </c>
      <c r="K194" s="24">
        <f>_xlfn.COMPOUNDVALUE(654)</f>
        <v>90298</v>
      </c>
      <c r="L194" s="24">
        <f>_xlfn.COMPOUNDVALUE(655)</f>
        <v>86873</v>
      </c>
      <c r="M194" s="25">
        <f>_xlfn.COMPOUNDVALUE(656)</f>
        <v>100985</v>
      </c>
      <c r="N194" s="22">
        <f>_xlfn.COMPOUNDVALUE(657)</f>
        <v>96204</v>
      </c>
      <c r="O194" s="23">
        <f>_xlfn.COMPOUNDVALUE(658)</f>
        <v>103366</v>
      </c>
    </row>
    <row r="195" spans="1:15" ht="15">
      <c r="A195" s="77" t="s">
        <v>29</v>
      </c>
      <c r="B195" s="82">
        <f aca="true" t="shared" si="27" ref="B195:O195">B196+B197+B198</f>
        <v>65301</v>
      </c>
      <c r="C195" s="83">
        <f t="shared" si="27"/>
        <v>62738</v>
      </c>
      <c r="D195" s="79">
        <f t="shared" si="27"/>
        <v>59544</v>
      </c>
      <c r="E195" s="84">
        <f t="shared" si="27"/>
        <v>55038</v>
      </c>
      <c r="F195" s="78">
        <f t="shared" si="27"/>
        <v>50412</v>
      </c>
      <c r="G195" s="79">
        <f t="shared" si="27"/>
        <v>72889</v>
      </c>
      <c r="H195" s="81">
        <f t="shared" si="27"/>
        <v>89757</v>
      </c>
      <c r="I195" s="80">
        <f t="shared" si="27"/>
        <v>74708</v>
      </c>
      <c r="J195" s="82">
        <f t="shared" si="27"/>
        <v>69899</v>
      </c>
      <c r="K195" s="79">
        <f t="shared" si="27"/>
        <v>71986</v>
      </c>
      <c r="L195" s="79">
        <f t="shared" si="27"/>
        <v>68518</v>
      </c>
      <c r="M195" s="84">
        <f t="shared" si="27"/>
        <v>72515</v>
      </c>
      <c r="N195" s="78">
        <f t="shared" si="27"/>
        <v>68427</v>
      </c>
      <c r="O195" s="80">
        <f t="shared" si="27"/>
        <v>65351</v>
      </c>
    </row>
    <row r="196" spans="1:15" ht="15" outlineLevel="1">
      <c r="A196" s="4" t="s">
        <v>218</v>
      </c>
      <c r="B196" s="22">
        <v>3200</v>
      </c>
      <c r="C196" s="24">
        <v>1887</v>
      </c>
      <c r="D196" s="24">
        <v>1934</v>
      </c>
      <c r="E196" s="27">
        <v>2933</v>
      </c>
      <c r="F196" s="25">
        <v>2165</v>
      </c>
      <c r="G196" s="24">
        <f>_xlfn.COMPOUNDVALUE(659)</f>
        <v>8355</v>
      </c>
      <c r="H196" s="32">
        <f>_xlfn.COMPOUNDVALUE(660)</f>
        <v>9482</v>
      </c>
      <c r="I196" s="27">
        <f>_xlfn.COMPOUNDVALUE(661)</f>
        <v>7100</v>
      </c>
      <c r="J196" s="38">
        <f>_xlfn.COMPOUNDVALUE(662)</f>
        <v>6411</v>
      </c>
      <c r="K196" s="24">
        <f>_xlfn.COMPOUNDVALUE(663)</f>
        <v>10055</v>
      </c>
      <c r="L196" s="24">
        <f>_xlfn.COMPOUNDVALUE(664)</f>
        <v>9466</v>
      </c>
      <c r="M196" s="25">
        <f>_xlfn.COMPOUNDVALUE(665)</f>
        <v>9282</v>
      </c>
      <c r="N196" s="22">
        <f>_xlfn.COMPOUNDVALUE(666)</f>
        <v>7735</v>
      </c>
      <c r="O196" s="23">
        <v>5836</v>
      </c>
    </row>
    <row r="197" spans="1:15" ht="15" outlineLevel="1">
      <c r="A197" s="4" t="s">
        <v>220</v>
      </c>
      <c r="B197" s="22">
        <v>14768</v>
      </c>
      <c r="C197" s="24">
        <v>11299</v>
      </c>
      <c r="D197" s="24">
        <v>11395</v>
      </c>
      <c r="E197" s="27">
        <v>12602</v>
      </c>
      <c r="F197" s="25">
        <v>11682</v>
      </c>
      <c r="G197" s="24">
        <f>_xlfn.COMPOUNDVALUE(667)</f>
        <v>13894</v>
      </c>
      <c r="H197" s="32">
        <f>_xlfn.COMPOUNDVALUE(668)</f>
        <v>17057</v>
      </c>
      <c r="I197" s="27">
        <f>_xlfn.COMPOUNDVALUE(669)</f>
        <v>15735</v>
      </c>
      <c r="J197" s="38">
        <f>_xlfn.COMPOUNDVALUE(670)</f>
        <v>14162</v>
      </c>
      <c r="K197" s="24">
        <f>_xlfn.COMPOUNDVALUE(671)</f>
        <v>14000</v>
      </c>
      <c r="L197" s="24">
        <f>_xlfn.COMPOUNDVALUE(672)</f>
        <v>12634</v>
      </c>
      <c r="M197" s="25">
        <f>_xlfn.COMPOUNDVALUE(673)</f>
        <v>13713</v>
      </c>
      <c r="N197" s="22">
        <f>_xlfn.COMPOUNDVALUE(674)</f>
        <v>12062</v>
      </c>
      <c r="O197" s="23">
        <v>10932</v>
      </c>
    </row>
    <row r="198" spans="1:15" ht="15.75" outlineLevel="1" thickBot="1">
      <c r="A198" s="4" t="s">
        <v>219</v>
      </c>
      <c r="B198" s="279">
        <v>47333</v>
      </c>
      <c r="C198" s="280">
        <v>49552</v>
      </c>
      <c r="D198" s="280">
        <v>46215</v>
      </c>
      <c r="E198" s="281">
        <v>39503</v>
      </c>
      <c r="F198" s="282">
        <v>36565</v>
      </c>
      <c r="G198" s="280">
        <f>_xlfn.COMPOUNDVALUE(675)</f>
        <v>50640</v>
      </c>
      <c r="H198" s="283">
        <f>_xlfn.COMPOUNDVALUE(676)</f>
        <v>63218</v>
      </c>
      <c r="I198" s="281">
        <f>_xlfn.COMPOUNDVALUE(677)</f>
        <v>51873</v>
      </c>
      <c r="J198" s="264">
        <f>_xlfn.COMPOUNDVALUE(678)</f>
        <v>49326</v>
      </c>
      <c r="K198" s="280">
        <f>_xlfn.COMPOUNDVALUE(679)</f>
        <v>47931</v>
      </c>
      <c r="L198" s="280">
        <f>_xlfn.COMPOUNDVALUE(680)</f>
        <v>46418</v>
      </c>
      <c r="M198" s="282">
        <f>_xlfn.COMPOUNDVALUE(681)</f>
        <v>49520</v>
      </c>
      <c r="N198" s="279">
        <f>_xlfn.COMPOUNDVALUE(682)</f>
        <v>48630</v>
      </c>
      <c r="O198" s="284">
        <v>48583</v>
      </c>
    </row>
  </sheetData>
  <sheetProtection password="FF63" sheet="1" objects="1"/>
  <mergeCells count="10">
    <mergeCell ref="A57:O57"/>
    <mergeCell ref="A98:O98"/>
    <mergeCell ref="A154:O154"/>
    <mergeCell ref="A180:O180"/>
    <mergeCell ref="J1:M1"/>
    <mergeCell ref="A1:A2"/>
    <mergeCell ref="N1:O1"/>
    <mergeCell ref="B1:E1"/>
    <mergeCell ref="F1:I1"/>
    <mergeCell ref="A4:N4"/>
  </mergeCells>
  <printOptions horizontalCentered="1" verticalCentered="1"/>
  <pageMargins left="0.7086614173228347" right="0.7086614173228347" top="0.7480314960629921" bottom="0.7480314960629921" header="0.31496062992125984" footer="0.31496062992125984"/>
  <pageSetup fitToHeight="1" fitToWidth="1" horizontalDpi="300" verticalDpi="300" orientation="portrait" paperSize="8" scale="44" r:id="rId1"/>
</worksheet>
</file>

<file path=xl/worksheets/sheet2.xml><?xml version="1.0" encoding="utf-8"?>
<worksheet xmlns="http://schemas.openxmlformats.org/spreadsheetml/2006/main" xmlns:r="http://schemas.openxmlformats.org/officeDocument/2006/relationships">
  <sheetPr>
    <pageSetUpPr fitToPage="1"/>
  </sheetPr>
  <dimension ref="A1:D87"/>
  <sheetViews>
    <sheetView view="pageBreakPreview" zoomScale="80" zoomScaleSheetLayoutView="80" zoomScalePageLayoutView="0" workbookViewId="0" topLeftCell="A1">
      <pane xSplit="1" ySplit="2" topLeftCell="B3" activePane="bottomRight" state="frozen"/>
      <selection pane="topLeft" activeCell="A1" sqref="A1"/>
      <selection pane="topRight" activeCell="B1" sqref="B1"/>
      <selection pane="bottomLeft" activeCell="A3" sqref="A3"/>
      <selection pane="bottomRight" activeCell="D26" sqref="D26"/>
    </sheetView>
  </sheetViews>
  <sheetFormatPr defaultColWidth="9.140625" defaultRowHeight="15"/>
  <cols>
    <col min="1" max="1" width="40.57421875" style="1" customWidth="1"/>
    <col min="2" max="3" width="12.421875" style="1" customWidth="1"/>
    <col min="4" max="4" width="12.57421875" style="1" bestFit="1" customWidth="1"/>
    <col min="5" max="16384" width="9.140625" style="1" customWidth="1"/>
  </cols>
  <sheetData>
    <row r="1" spans="1:4" ht="15">
      <c r="A1" s="309" t="s">
        <v>14</v>
      </c>
      <c r="B1" s="316">
        <v>2009</v>
      </c>
      <c r="C1" s="316">
        <v>2010</v>
      </c>
      <c r="D1" s="316">
        <v>2011</v>
      </c>
    </row>
    <row r="2" spans="1:4" ht="17.25" customHeight="1" thickBot="1">
      <c r="A2" s="310"/>
      <c r="B2" s="317"/>
      <c r="C2" s="318"/>
      <c r="D2" s="317"/>
    </row>
    <row r="3" spans="1:4" s="61" customFormat="1" ht="4.5" customHeight="1">
      <c r="A3" s="62"/>
      <c r="B3" s="67"/>
      <c r="C3" s="156"/>
      <c r="D3" s="162"/>
    </row>
    <row r="4" spans="1:4" ht="15">
      <c r="A4" s="314" t="s">
        <v>4</v>
      </c>
      <c r="B4" s="315"/>
      <c r="C4" s="315"/>
      <c r="D4" s="319"/>
    </row>
    <row r="5" spans="1:4" ht="4.5" customHeight="1">
      <c r="A5" s="4"/>
      <c r="B5" s="36"/>
      <c r="C5" s="5"/>
      <c r="D5" s="163"/>
    </row>
    <row r="6" spans="1:4" ht="15">
      <c r="A6" s="8" t="s">
        <v>99</v>
      </c>
      <c r="B6" s="37">
        <f>B7+B8</f>
        <v>422083</v>
      </c>
      <c r="C6" s="37">
        <f>C7+C8</f>
        <v>455579</v>
      </c>
      <c r="D6" s="164">
        <f>D7+D8</f>
        <v>521748</v>
      </c>
    </row>
    <row r="7" spans="1:4" ht="15">
      <c r="A7" s="122" t="s">
        <v>33</v>
      </c>
      <c r="B7" s="127">
        <f>'QUARTERLY STATS - ABs + SHARES'!E15</f>
        <v>343694</v>
      </c>
      <c r="C7" s="127">
        <f>'QUARTERLY STATS - ABs + SHARES'!I15</f>
        <v>366334</v>
      </c>
      <c r="D7" s="244">
        <f>'QUARTERLY STATS - ABs + SHARES'!M15</f>
        <v>418158</v>
      </c>
    </row>
    <row r="8" spans="1:4" ht="15">
      <c r="A8" s="122" t="s">
        <v>32</v>
      </c>
      <c r="B8" s="127">
        <f>'QUARTERLY STATS - ABs + SHARES'!E24</f>
        <v>78389</v>
      </c>
      <c r="C8" s="127">
        <f>'QUARTERLY STATS - ABs + SHARES'!I24</f>
        <v>89245</v>
      </c>
      <c r="D8" s="244">
        <f>'QUARTERLY STATS - ABs + SHARES'!M24</f>
        <v>103590</v>
      </c>
    </row>
    <row r="9" spans="1:4" s="234" customFormat="1" ht="3.75" customHeight="1">
      <c r="A9" s="226"/>
      <c r="B9" s="227"/>
      <c r="C9" s="227"/>
      <c r="D9" s="242"/>
    </row>
    <row r="10" spans="1:4" ht="15">
      <c r="A10" s="8" t="s">
        <v>11</v>
      </c>
      <c r="B10" s="37">
        <f>'QUARTERLY STATS - ABs + SHARES'!B36+'QUARTERLY STATS - ABs + SHARES'!C36+'QUARTERLY STATS - ABs + SHARES'!D36+'QUARTERLY STATS - ABs + SHARES'!E36</f>
        <v>249423227</v>
      </c>
      <c r="C10" s="37">
        <f>'QUARTERLY STATS - ABs + SHARES'!F36+'QUARTERLY STATS - ABs + SHARES'!G36+'QUARTERLY STATS - ABs + SHARES'!H36+'QUARTERLY STATS - ABs + SHARES'!I36</f>
        <v>279478007</v>
      </c>
      <c r="D10" s="164">
        <f>'QUARTERLY STATS - ABs + SHARES'!J36+'QUARTERLY STATS - ABs + SHARES'!K36+'QUARTERLY STATS - ABs + SHARES'!L36+'QUARTERLY STATS - ABs + SHARES'!M36</f>
        <v>328107940.13</v>
      </c>
    </row>
    <row r="11" spans="1:4" ht="3.75" customHeight="1">
      <c r="A11" s="4"/>
      <c r="B11" s="38"/>
      <c r="C11" s="38"/>
      <c r="D11" s="157"/>
    </row>
    <row r="12" spans="1:4" ht="15">
      <c r="A12" s="8" t="s">
        <v>36</v>
      </c>
      <c r="B12" s="37">
        <f>'QUARTERLY STATS - ABs + SHARES'!B38+'QUARTERLY STATS - ABs + SHARES'!C38+'QUARTERLY STATS - ABs + SHARES'!D38+'QUARTERLY STATS - ABs + SHARES'!E38</f>
        <v>308469404.957677</v>
      </c>
      <c r="C12" s="37">
        <f>'QUARTERLY STATS - ABs + SHARES'!F38+'QUARTERLY STATS - ABs + SHARES'!G38+'QUARTERLY STATS - ABs + SHARES'!H38+'QUARTERLY STATS - ABs + SHARES'!I38</f>
        <v>381829153.50733304</v>
      </c>
      <c r="D12" s="164">
        <f>'QUARTERLY STATS - ABs + SHARES'!J38+'QUARTERLY STATS - ABs + SHARES'!K38+'QUARTERLY STATS - ABs + SHARES'!L38+'QUARTERLY STATS - ABs + SHARES'!M38</f>
        <v>492602137.67322314</v>
      </c>
    </row>
    <row r="13" spans="1:4" s="61" customFormat="1" ht="4.5" customHeight="1">
      <c r="A13" s="4"/>
      <c r="B13" s="38"/>
      <c r="C13" s="38"/>
      <c r="D13" s="157"/>
    </row>
    <row r="14" spans="1:4" ht="15">
      <c r="A14" s="8" t="s">
        <v>12</v>
      </c>
      <c r="B14" s="37">
        <f>'QUARTERLY STATS - ABs + SHARES'!B40+'QUARTERLY STATS - ABs + SHARES'!C40+'QUARTERLY STATS - ABs + SHARES'!D40+'QUARTERLY STATS - ABs + SHARES'!E40</f>
        <v>508871173</v>
      </c>
      <c r="C14" s="37">
        <f>'QUARTERLY STATS - ABs + SHARES'!F40+'QUARTERLY STATS - ABs + SHARES'!G40+'QUARTERLY STATS - ABs + SHARES'!H40+'QUARTERLY STATS - ABs + SHARES'!I40</f>
        <v>612750697</v>
      </c>
      <c r="D14" s="164">
        <f>'QUARTERLY STATS - ABs + SHARES'!J40+'QUARTERLY STATS - ABs + SHARES'!K40+'QUARTERLY STATS - ABs + SHARES'!L40+'QUARTERLY STATS - ABs + SHARES'!M40</f>
        <v>573786514.3</v>
      </c>
    </row>
    <row r="15" spans="1:4" ht="3.75" customHeight="1">
      <c r="A15" s="4"/>
      <c r="B15" s="38"/>
      <c r="C15" s="38"/>
      <c r="D15" s="157"/>
    </row>
    <row r="16" spans="1:4" ht="15">
      <c r="A16" s="8" t="s">
        <v>37</v>
      </c>
      <c r="B16" s="37">
        <f>'QUARTERLY STATS - ABs + SHARES'!B42+'QUARTERLY STATS - ABs + SHARES'!C42+'QUARTERLY STATS - ABs + SHARES'!D42+'QUARTERLY STATS - ABs + SHARES'!E42</f>
        <v>283303</v>
      </c>
      <c r="C16" s="37">
        <f>'QUARTERLY STATS - ABs + SHARES'!F42+'QUARTERLY STATS - ABs + SHARES'!G42+'QUARTERLY STATS - ABs + SHARES'!H42+'QUARTERLY STATS - ABs + SHARES'!I42</f>
        <v>232634</v>
      </c>
      <c r="D16" s="164">
        <f>'QUARTERLY STATS - ABs + SHARES'!J42+'QUARTERLY STATS - ABs + SHARES'!K42+'QUARTERLY STATS - ABs + SHARES'!L42+'QUARTERLY STATS - ABs + SHARES'!M42</f>
        <v>217101</v>
      </c>
    </row>
    <row r="17" spans="1:4" ht="4.5" customHeight="1">
      <c r="A17" s="4"/>
      <c r="B17" s="38"/>
      <c r="C17" s="38"/>
      <c r="D17" s="157"/>
    </row>
    <row r="18" spans="1:4" ht="15">
      <c r="A18" s="8" t="s">
        <v>38</v>
      </c>
      <c r="B18" s="37">
        <f>B19+B22</f>
        <v>42473814.92706101</v>
      </c>
      <c r="C18" s="37">
        <f>C19+C22</f>
        <v>47973639.757291995</v>
      </c>
      <c r="D18" s="164">
        <f>D19+D22</f>
        <v>51940970.613331996</v>
      </c>
    </row>
    <row r="19" spans="1:4" ht="15">
      <c r="A19" s="77" t="s">
        <v>18</v>
      </c>
      <c r="B19" s="82">
        <f>B20+B21</f>
        <v>8631404.426661</v>
      </c>
      <c r="C19" s="82">
        <f>C20+C21</f>
        <v>10577019.270692</v>
      </c>
      <c r="D19" s="165">
        <f>D20+D21</f>
        <v>11565873.703332</v>
      </c>
    </row>
    <row r="20" spans="1:4" ht="15">
      <c r="A20" s="122" t="s">
        <v>35</v>
      </c>
      <c r="B20" s="127">
        <f>'QUARTERLY STATS - ABs + SHARES'!B46+'QUARTERLY STATS - ABs + SHARES'!C46+'QUARTERLY STATS - ABs + SHARES'!D46+'QUARTERLY STATS - ABs + SHARES'!E46</f>
        <v>5214349.153377</v>
      </c>
      <c r="C20" s="127">
        <f>'QUARTERLY STATS - ABs + SHARES'!F46+'QUARTERLY STATS - ABs + SHARES'!G46+'QUARTERLY STATS - ABs + SHARES'!H46+'QUARTERLY STATS - ABs + SHARES'!I46</f>
        <v>6202419.503641</v>
      </c>
      <c r="D20" s="244">
        <f>'QUARTERLY STATS - ABs + SHARES'!J46+'QUARTERLY STATS - ABs + SHARES'!K46+'QUARTERLY STATS - ABs + SHARES'!L46+'QUARTERLY STATS - ABs + SHARES'!M46</f>
        <v>6537789.864999999</v>
      </c>
    </row>
    <row r="21" spans="1:4" ht="15">
      <c r="A21" s="122" t="s">
        <v>34</v>
      </c>
      <c r="B21" s="127">
        <f>'QUARTERLY STATS - ABs + SHARES'!B47+'QUARTERLY STATS - ABs + SHARES'!C47+'QUARTERLY STATS - ABs + SHARES'!D47+'QUARTERLY STATS - ABs + SHARES'!E47</f>
        <v>3417055.2732840003</v>
      </c>
      <c r="C21" s="127">
        <f>'QUARTERLY STATS - ABs + SHARES'!F47+'QUARTERLY STATS - ABs + SHARES'!G47+'QUARTERLY STATS - ABs + SHARES'!H47+'QUARTERLY STATS - ABs + SHARES'!I47</f>
        <v>4374599.767051</v>
      </c>
      <c r="D21" s="244">
        <f>'QUARTERLY STATS - ABs + SHARES'!J47+'QUARTERLY STATS - ABs + SHARES'!K47+'QUARTERLY STATS - ABs + SHARES'!L47+'QUARTERLY STATS - ABs + SHARES'!M47</f>
        <v>5028083.838332001</v>
      </c>
    </row>
    <row r="22" spans="1:4" ht="15">
      <c r="A22" s="77" t="s">
        <v>19</v>
      </c>
      <c r="B22" s="82">
        <f>B23+B24</f>
        <v>33842410.50040001</v>
      </c>
      <c r="C22" s="82">
        <f>C23+C24</f>
        <v>37396620.4866</v>
      </c>
      <c r="D22" s="165">
        <f>D23+D24</f>
        <v>40375096.91</v>
      </c>
    </row>
    <row r="23" spans="1:4" ht="15">
      <c r="A23" s="122" t="s">
        <v>35</v>
      </c>
      <c r="B23" s="127">
        <f>'QUARTERLY STATS - ABs + SHARES'!B49+'QUARTERLY STATS - ABs + SHARES'!C49+'QUARTERLY STATS - ABs + SHARES'!D49+'QUARTERLY STATS - ABs + SHARES'!E49</f>
        <v>20790289.1334</v>
      </c>
      <c r="C23" s="127">
        <f>'QUARTERLY STATS - ABs + SHARES'!F49+'QUARTERLY STATS - ABs + SHARES'!G49+'QUARTERLY STATS - ABs + SHARES'!H49+'QUARTERLY STATS - ABs + SHARES'!I49</f>
        <v>22270156.4033</v>
      </c>
      <c r="D23" s="244">
        <f>'QUARTERLY STATS - ABs + SHARES'!J49+'QUARTERLY STATS - ABs + SHARES'!K49+'QUARTERLY STATS - ABs + SHARES'!L49+'QUARTERLY STATS - ABs + SHARES'!M49</f>
        <v>22434581.64</v>
      </c>
    </row>
    <row r="24" spans="1:4" ht="15">
      <c r="A24" s="122" t="s">
        <v>34</v>
      </c>
      <c r="B24" s="127">
        <f>'QUARTERLY STATS - ABs + SHARES'!B50+'QUARTERLY STATS - ABs + SHARES'!C50+'QUARTERLY STATS - ABs + SHARES'!D50+'QUARTERLY STATS - ABs + SHARES'!E50</f>
        <v>13052121.367000002</v>
      </c>
      <c r="C24" s="127">
        <f>'QUARTERLY STATS - ABs + SHARES'!F50+'QUARTERLY STATS - ABs + SHARES'!G50+'QUARTERLY STATS - ABs + SHARES'!H50+'QUARTERLY STATS - ABs + SHARES'!I50</f>
        <v>15126464.0833</v>
      </c>
      <c r="D24" s="244">
        <f>'QUARTERLY STATS - ABs + SHARES'!J50+'QUARTERLY STATS - ABs + SHARES'!K50+'QUARTERLY STATS - ABs + SHARES'!L50+'QUARTERLY STATS - ABs + SHARES'!M50</f>
        <v>17940515.27</v>
      </c>
    </row>
    <row r="25" spans="1:4" s="234" customFormat="1" ht="3" customHeight="1">
      <c r="A25" s="226"/>
      <c r="B25" s="227"/>
      <c r="C25" s="227"/>
      <c r="D25" s="242"/>
    </row>
    <row r="26" spans="1:4" ht="15">
      <c r="A26" s="8" t="s">
        <v>13</v>
      </c>
      <c r="B26" s="89">
        <v>217.84218074442094</v>
      </c>
      <c r="C26" s="89">
        <v>204.54236648172616</v>
      </c>
      <c r="D26" s="166">
        <v>188.49174598652417</v>
      </c>
    </row>
    <row r="27" spans="1:4" s="61" customFormat="1" ht="4.5" customHeight="1">
      <c r="A27" s="4"/>
      <c r="B27" s="58"/>
      <c r="C27" s="58"/>
      <c r="D27" s="167"/>
    </row>
    <row r="28" spans="1:4" ht="15">
      <c r="A28" s="8" t="s">
        <v>124</v>
      </c>
      <c r="B28" s="45">
        <f>'QUARTERLY STATS - ABs + SHARES'!E53</f>
        <v>1.0220669782308642</v>
      </c>
      <c r="C28" s="45">
        <f>'QUARTERLY STATS - ABs + SHARES'!I53</f>
        <v>1.0909014719228385</v>
      </c>
      <c r="D28" s="168">
        <f>'QUARTERLY STATS - ABs + SHARES'!M53</f>
        <v>1.2493456923448998</v>
      </c>
    </row>
    <row r="29" spans="1:4" ht="3.75" customHeight="1">
      <c r="A29" s="4"/>
      <c r="B29" s="58"/>
      <c r="C29" s="58"/>
      <c r="D29" s="167"/>
    </row>
    <row r="30" spans="1:4" ht="15">
      <c r="A30" s="8" t="s">
        <v>40</v>
      </c>
      <c r="B30" s="99">
        <f>'QUARTERLY STATS - ABs + SHARES'!B55+'QUARTERLY STATS - ABs + SHARES'!C55+'QUARTERLY STATS - ABs + SHARES'!D55+'QUARTERLY STATS - ABs + SHARES'!E55</f>
        <v>52464</v>
      </c>
      <c r="C30" s="99">
        <f>'QUARTERLY STATS - ABs + SHARES'!F55+'QUARTERLY STATS - ABs + SHARES'!G55+'QUARTERLY STATS - ABs + SHARES'!H55+'QUARTERLY STATS - ABs + SHARES'!I55</f>
        <v>47116</v>
      </c>
      <c r="D30" s="169">
        <f>'QUARTERLY STATS - ABs + SHARES'!J55+'QUARTERLY STATS - ABs + SHARES'!K55+'QUARTERLY STATS - ABs + SHARES'!L55+'QUARTERLY STATS - ABs + SHARES'!M55</f>
        <v>60918</v>
      </c>
    </row>
    <row r="31" spans="1:4" s="61" customFormat="1" ht="4.5" customHeight="1">
      <c r="A31" s="4"/>
      <c r="B31" s="58"/>
      <c r="C31" s="54"/>
      <c r="D31" s="167"/>
    </row>
    <row r="32" spans="1:4" ht="15">
      <c r="A32" s="314" t="s">
        <v>6</v>
      </c>
      <c r="B32" s="315"/>
      <c r="C32" s="315"/>
      <c r="D32" s="319"/>
    </row>
    <row r="33" spans="1:4" ht="6" customHeight="1">
      <c r="A33" s="9"/>
      <c r="B33" s="39"/>
      <c r="C33" s="155"/>
      <c r="D33" s="155"/>
    </row>
    <row r="34" spans="1:4" ht="15">
      <c r="A34" s="8" t="s">
        <v>99</v>
      </c>
      <c r="B34" s="37">
        <f>B35+B36+B37</f>
        <v>246890</v>
      </c>
      <c r="C34" s="37">
        <f>C35+C36+C37</f>
        <v>247635</v>
      </c>
      <c r="D34" s="164">
        <f>D35+D36+D37</f>
        <v>232203</v>
      </c>
    </row>
    <row r="35" spans="1:4" ht="15">
      <c r="A35" s="122" t="s">
        <v>33</v>
      </c>
      <c r="B35" s="127">
        <f>'QUARTERLY STATS - ABs + SHARES'!E66</f>
        <v>55305</v>
      </c>
      <c r="C35" s="127">
        <f>'QUARTERLY STATS - ABs + SHARES'!I66</f>
        <v>56029</v>
      </c>
      <c r="D35" s="244">
        <f>'QUARTERLY STATS - ABs + SHARES'!M66</f>
        <v>40027</v>
      </c>
    </row>
    <row r="36" spans="1:4" ht="15">
      <c r="A36" s="122" t="s">
        <v>32</v>
      </c>
      <c r="B36" s="127">
        <f>'QUARTERLY STATS - ABs + SHARES'!E73</f>
        <v>188738</v>
      </c>
      <c r="C36" s="127">
        <f>'QUARTERLY STATS - ABs + SHARES'!I73</f>
        <v>188700</v>
      </c>
      <c r="D36" s="244">
        <f>'QUARTERLY STATS - ABs + SHARES'!M73</f>
        <v>189350</v>
      </c>
    </row>
    <row r="37" spans="1:4" ht="15">
      <c r="A37" s="122" t="s">
        <v>41</v>
      </c>
      <c r="B37" s="127">
        <f>'QUARTERLY STATS - ABs + SHARES'!E80</f>
        <v>2847</v>
      </c>
      <c r="C37" s="127">
        <f>'QUARTERLY STATS - ABs + SHARES'!I80</f>
        <v>2906</v>
      </c>
      <c r="D37" s="244">
        <f>'QUARTERLY STATS - ABs + SHARES'!M80</f>
        <v>2826</v>
      </c>
    </row>
    <row r="38" spans="1:4" s="234" customFormat="1" ht="3" customHeight="1">
      <c r="A38" s="226"/>
      <c r="B38" s="227"/>
      <c r="C38" s="227"/>
      <c r="D38" s="242"/>
    </row>
    <row r="39" spans="1:4" ht="15">
      <c r="A39" s="8" t="s">
        <v>11</v>
      </c>
      <c r="B39" s="37">
        <f>'QUARTERLY STATS - ABs + SHARES'!B90+'QUARTERLY STATS - ABs + SHARES'!C90+'QUARTERLY STATS - ABs + SHARES'!D90+'QUARTERLY STATS - ABs + SHARES'!E90</f>
        <v>221235294</v>
      </c>
      <c r="C39" s="37">
        <f>'QUARTERLY STATS - ABs + SHARES'!F90+'QUARTERLY STATS - ABs + SHARES'!G90+'QUARTERLY STATS - ABs + SHARES'!H90+'QUARTERLY STATS - ABs + SHARES'!I90</f>
        <v>213064856.75039</v>
      </c>
      <c r="D39" s="164">
        <f>'QUARTERLY STATS - ABs + SHARES'!J90+'QUARTERLY STATS - ABs + SHARES'!K90+'QUARTERLY STATS - ABs + SHARES'!L90+'QUARTERLY STATS - ABs + SHARES'!M90</f>
        <v>198436661</v>
      </c>
    </row>
    <row r="40" spans="1:4" s="61" customFormat="1" ht="4.5" customHeight="1">
      <c r="A40" s="4"/>
      <c r="B40" s="38"/>
      <c r="C40" s="38"/>
      <c r="D40" s="157"/>
    </row>
    <row r="41" spans="1:4" ht="15">
      <c r="A41" s="8" t="s">
        <v>36</v>
      </c>
      <c r="B41" s="37">
        <f>'QUARTERLY STATS - ABs + SHARES'!B92+'QUARTERLY STATS - ABs + SHARES'!C92+'QUARTERLY STATS - ABs + SHARES'!D92+'QUARTERLY STATS - ABs + SHARES'!E92</f>
        <v>740505879.250722</v>
      </c>
      <c r="C41" s="37">
        <f>'QUARTERLY STATS - ABs + SHARES'!F92+'QUARTERLY STATS - ABs + SHARES'!G92+'QUARTERLY STATS - ABs + SHARES'!H92+'QUARTERLY STATS - ABs + SHARES'!I92</f>
        <v>725784669.112442</v>
      </c>
      <c r="D41" s="164">
        <f>'QUARTERLY STATS - ABs + SHARES'!J92+'QUARTERLY STATS - ABs + SHARES'!K92+'QUARTERLY STATS - ABs + SHARES'!L92+'QUARTERLY STATS - ABs + SHARES'!M92</f>
        <v>671167123.649966</v>
      </c>
    </row>
    <row r="42" spans="1:4" ht="4.5" customHeight="1">
      <c r="A42" s="4"/>
      <c r="B42" s="38"/>
      <c r="C42" s="38"/>
      <c r="D42" s="157"/>
    </row>
    <row r="43" spans="1:4" ht="15.75" customHeight="1">
      <c r="A43" s="8" t="s">
        <v>13</v>
      </c>
      <c r="B43" s="235">
        <v>187.2862732250287</v>
      </c>
      <c r="C43" s="235">
        <v>181.06180510685624</v>
      </c>
      <c r="D43" s="243">
        <v>169.08008064917067</v>
      </c>
    </row>
    <row r="44" spans="1:4" s="234" customFormat="1" ht="3.75" customHeight="1">
      <c r="A44" s="226"/>
      <c r="B44" s="227"/>
      <c r="C44" s="227"/>
      <c r="D44" s="242"/>
    </row>
    <row r="45" spans="1:4" ht="15">
      <c r="A45" s="8" t="s">
        <v>39</v>
      </c>
      <c r="B45" s="37">
        <f>'QUARTERLY STATS - ABs + SHARES'!B96+'QUARTERLY STATS - ABs + SHARES'!C96+'QUARTERLY STATS - ABs + SHARES'!D96+'QUARTERLY STATS - ABs + SHARES'!E96</f>
        <v>3787</v>
      </c>
      <c r="C45" s="37">
        <f>'QUARTERLY STATS - ABs + SHARES'!F96+'QUARTERLY STATS - ABs + SHARES'!G96+'QUARTERLY STATS - ABs + SHARES'!H96+'QUARTERLY STATS - ABs + SHARES'!I96</f>
        <v>4024</v>
      </c>
      <c r="D45" s="164">
        <f>'QUARTERLY STATS - ABs + SHARES'!J96+'QUARTERLY STATS - ABs + SHARES'!K96+'QUARTERLY STATS - ABs + SHARES'!L96+'QUARTERLY STATS - ABs + SHARES'!M96</f>
        <v>3170</v>
      </c>
    </row>
    <row r="46" spans="1:4" s="61" customFormat="1" ht="4.5" customHeight="1">
      <c r="A46" s="4"/>
      <c r="B46" s="38"/>
      <c r="C46" s="157"/>
      <c r="D46" s="157"/>
    </row>
    <row r="47" spans="1:4" ht="15">
      <c r="A47" s="314" t="s">
        <v>7</v>
      </c>
      <c r="B47" s="315"/>
      <c r="C47" s="315"/>
      <c r="D47" s="319"/>
    </row>
    <row r="48" spans="1:4" ht="5.25" customHeight="1">
      <c r="A48" s="9"/>
      <c r="B48" s="39"/>
      <c r="C48" s="15"/>
      <c r="D48" s="155"/>
    </row>
    <row r="49" spans="1:4" ht="15">
      <c r="A49" s="8" t="s">
        <v>125</v>
      </c>
      <c r="B49" s="40">
        <f>B50+B52</f>
        <v>109843</v>
      </c>
      <c r="C49" s="40">
        <f>C50+C52</f>
        <v>121654</v>
      </c>
      <c r="D49" s="170">
        <f>D50+D52</f>
        <v>129320</v>
      </c>
    </row>
    <row r="50" spans="1:4" ht="15">
      <c r="A50" s="77" t="s">
        <v>204</v>
      </c>
      <c r="B50" s="82"/>
      <c r="C50" s="82"/>
      <c r="D50" s="165"/>
    </row>
    <row r="51" spans="1:4" ht="3.75" customHeight="1">
      <c r="A51" s="4"/>
      <c r="B51" s="38"/>
      <c r="C51" s="38"/>
      <c r="D51" s="157"/>
    </row>
    <row r="52" spans="1:4" ht="15">
      <c r="A52" s="77" t="s">
        <v>203</v>
      </c>
      <c r="B52" s="82">
        <f>B53+B54+B55</f>
        <v>109843</v>
      </c>
      <c r="C52" s="82">
        <f>C53+C54+C55</f>
        <v>121654</v>
      </c>
      <c r="D52" s="165">
        <f>D53+D54+D55</f>
        <v>129320</v>
      </c>
    </row>
    <row r="53" spans="1:4" ht="15">
      <c r="A53" s="122" t="s">
        <v>24</v>
      </c>
      <c r="B53" s="127">
        <f>'QUARTERLY STATS - ABs + SHARES'!E104</f>
        <v>54380</v>
      </c>
      <c r="C53" s="127">
        <f>'QUARTERLY STATS - ABs + SHARES'!I104</f>
        <v>53600</v>
      </c>
      <c r="D53" s="244">
        <f>'QUARTERLY STATS - ABs + SHARES'!M104</f>
        <v>59084</v>
      </c>
    </row>
    <row r="54" spans="1:4" ht="15">
      <c r="A54" s="122" t="s">
        <v>31</v>
      </c>
      <c r="B54" s="127">
        <f>'QUARTERLY STATS - ABs + SHARES'!E113</f>
        <v>51650</v>
      </c>
      <c r="C54" s="127">
        <f>'QUARTERLY STATS - ABs + SHARES'!I113</f>
        <v>63394</v>
      </c>
      <c r="D54" s="244">
        <f>'QUARTERLY STATS - ABs + SHARES'!M113</f>
        <v>66084</v>
      </c>
    </row>
    <row r="55" spans="1:4" ht="15">
      <c r="A55" s="122" t="s">
        <v>30</v>
      </c>
      <c r="B55" s="127">
        <f>'QUARTERLY STATS - ABs + SHARES'!E122</f>
        <v>3813</v>
      </c>
      <c r="C55" s="127">
        <f>'QUARTERLY STATS - ABs + SHARES'!I122</f>
        <v>4660</v>
      </c>
      <c r="D55" s="244">
        <f>'QUARTERLY STATS - ABs + SHARES'!M122</f>
        <v>4152</v>
      </c>
    </row>
    <row r="56" spans="1:4" s="234" customFormat="1" ht="3" customHeight="1">
      <c r="A56" s="226"/>
      <c r="B56" s="227"/>
      <c r="C56" s="227"/>
      <c r="D56" s="242"/>
    </row>
    <row r="57" spans="1:4" s="234" customFormat="1" ht="17.25" customHeight="1">
      <c r="A57" s="109" t="s">
        <v>13</v>
      </c>
      <c r="B57" s="247">
        <v>193.96519743318328</v>
      </c>
      <c r="C57" s="247">
        <v>177.21645276031074</v>
      </c>
      <c r="D57" s="248">
        <v>169.77491768452657</v>
      </c>
    </row>
    <row r="58" spans="1:4" s="234" customFormat="1" ht="3" customHeight="1">
      <c r="A58" s="226"/>
      <c r="B58" s="227"/>
      <c r="C58" s="227"/>
      <c r="D58" s="242"/>
    </row>
    <row r="59" spans="1:4" ht="15">
      <c r="A59" s="8" t="s">
        <v>42</v>
      </c>
      <c r="B59" s="45">
        <v>0.26598300118652685</v>
      </c>
      <c r="C59" s="45">
        <v>0.2913051911200933</v>
      </c>
      <c r="D59" s="168">
        <v>0.3096617235409478</v>
      </c>
    </row>
    <row r="60" spans="1:4" s="61" customFormat="1" ht="5.25" customHeight="1">
      <c r="A60" s="5"/>
      <c r="B60" s="74"/>
      <c r="C60" s="70"/>
      <c r="D60" s="171"/>
    </row>
    <row r="61" spans="1:4" ht="15">
      <c r="A61" s="314" t="s">
        <v>8</v>
      </c>
      <c r="B61" s="315"/>
      <c r="C61" s="315"/>
      <c r="D61" s="319"/>
    </row>
    <row r="62" spans="1:4" ht="4.5" customHeight="1">
      <c r="A62" s="9"/>
      <c r="B62" s="39"/>
      <c r="C62" s="39"/>
      <c r="D62" s="155"/>
    </row>
    <row r="63" spans="1:4" ht="17.25" customHeight="1">
      <c r="A63" s="109" t="s">
        <v>126</v>
      </c>
      <c r="B63" s="245">
        <f>B64+B68+B72</f>
        <v>139336</v>
      </c>
      <c r="C63" s="245">
        <f>C64+C68+C72</f>
        <v>143752</v>
      </c>
      <c r="D63" s="246">
        <f>D64+D68+D72</f>
        <v>149727</v>
      </c>
    </row>
    <row r="64" spans="1:4" ht="15">
      <c r="A64" s="77" t="s">
        <v>20</v>
      </c>
      <c r="B64" s="82">
        <f>B65+B66</f>
        <v>28677</v>
      </c>
      <c r="C64" s="82">
        <f>C65+C66</f>
        <v>12940</v>
      </c>
      <c r="D64" s="165">
        <f>D65+D66</f>
        <v>10156</v>
      </c>
    </row>
    <row r="65" spans="1:4" ht="15">
      <c r="A65" s="122" t="s">
        <v>205</v>
      </c>
      <c r="B65" s="127">
        <f>'QUARTERLY STATS - ABs + SHARES'!E160</f>
        <v>28677</v>
      </c>
      <c r="C65" s="127">
        <f>'QUARTERLY STATS - ABs + SHARES'!I160</f>
        <v>12940</v>
      </c>
      <c r="D65" s="244">
        <f>'QUARTERLY STATS - ABs + SHARES'!M160</f>
        <v>10156</v>
      </c>
    </row>
    <row r="66" spans="1:4" ht="15">
      <c r="A66" s="122" t="s">
        <v>206</v>
      </c>
      <c r="B66" s="127">
        <v>0</v>
      </c>
      <c r="C66" s="127">
        <v>0</v>
      </c>
      <c r="D66" s="244">
        <v>0</v>
      </c>
    </row>
    <row r="67" spans="1:4" s="234" customFormat="1" ht="3" customHeight="1">
      <c r="A67" s="226"/>
      <c r="B67" s="227"/>
      <c r="C67" s="227"/>
      <c r="D67" s="242"/>
    </row>
    <row r="68" spans="1:4" ht="15">
      <c r="A68" s="77" t="s">
        <v>25</v>
      </c>
      <c r="B68" s="82">
        <f>B69+B70</f>
        <v>110659</v>
      </c>
      <c r="C68" s="82">
        <f>C69+C70</f>
        <v>130812</v>
      </c>
      <c r="D68" s="165">
        <f>D69+D70</f>
        <v>138298</v>
      </c>
    </row>
    <row r="69" spans="1:4" ht="15">
      <c r="A69" s="122" t="s">
        <v>205</v>
      </c>
      <c r="B69" s="127">
        <v>65688</v>
      </c>
      <c r="C69" s="127">
        <v>70366</v>
      </c>
      <c r="D69" s="244">
        <v>73631</v>
      </c>
    </row>
    <row r="70" spans="1:4" ht="15">
      <c r="A70" s="122" t="s">
        <v>206</v>
      </c>
      <c r="B70" s="128">
        <v>44971</v>
      </c>
      <c r="C70" s="127">
        <v>60446</v>
      </c>
      <c r="D70" s="244">
        <v>64667</v>
      </c>
    </row>
    <row r="71" spans="1:4" ht="3.75" customHeight="1">
      <c r="A71" s="4"/>
      <c r="B71" s="27"/>
      <c r="C71" s="25"/>
      <c r="D71" s="157"/>
    </row>
    <row r="72" spans="1:4" ht="15">
      <c r="A72" s="77" t="s">
        <v>207</v>
      </c>
      <c r="B72" s="84">
        <f>B73+B74</f>
        <v>0</v>
      </c>
      <c r="C72" s="83">
        <f>C73+C74</f>
        <v>0</v>
      </c>
      <c r="D72" s="165">
        <f>D73+D74</f>
        <v>1273</v>
      </c>
    </row>
    <row r="73" spans="1:4" ht="15">
      <c r="A73" s="122" t="s">
        <v>205</v>
      </c>
      <c r="B73" s="129">
        <v>0</v>
      </c>
      <c r="C73" s="129">
        <v>0</v>
      </c>
      <c r="D73" s="129">
        <v>0</v>
      </c>
    </row>
    <row r="74" spans="1:4" ht="15">
      <c r="A74" s="122" t="s">
        <v>206</v>
      </c>
      <c r="B74" s="129">
        <f>'QUARTERLY STATS - ABs + SHARES'!E170</f>
        <v>0</v>
      </c>
      <c r="C74" s="129">
        <f>'QUARTERLY STATS - ABs + SHARES'!I170</f>
        <v>0</v>
      </c>
      <c r="D74" s="129">
        <f>'QUARTERLY STATS - ABs + SHARES'!M170</f>
        <v>1273</v>
      </c>
    </row>
    <row r="75" spans="1:4" ht="3" customHeight="1">
      <c r="A75" s="4"/>
      <c r="B75" s="27"/>
      <c r="C75" s="27"/>
      <c r="D75" s="27"/>
    </row>
    <row r="76" spans="1:4" ht="14.25" customHeight="1">
      <c r="A76" s="109" t="s">
        <v>13</v>
      </c>
      <c r="B76" s="238">
        <v>174.06035496135306</v>
      </c>
      <c r="C76" s="238">
        <v>169.2602358772678</v>
      </c>
      <c r="D76" s="238">
        <v>169.04466905019177</v>
      </c>
    </row>
    <row r="77" spans="1:4" ht="3" customHeight="1">
      <c r="A77" s="5"/>
      <c r="B77" s="25"/>
      <c r="C77" s="25"/>
      <c r="D77" s="27"/>
    </row>
    <row r="78" spans="1:4" ht="15">
      <c r="A78" s="314" t="s">
        <v>9</v>
      </c>
      <c r="B78" s="315"/>
      <c r="C78" s="315"/>
      <c r="D78" s="319"/>
    </row>
    <row r="79" spans="1:4" ht="4.5" customHeight="1">
      <c r="A79" s="9"/>
      <c r="B79" s="39"/>
      <c r="C79" s="39"/>
      <c r="D79" s="155"/>
    </row>
    <row r="80" spans="1:4" ht="15">
      <c r="A80" s="8" t="s">
        <v>15</v>
      </c>
      <c r="B80" s="37">
        <f>B81+B82+B83+B84</f>
        <v>45107908</v>
      </c>
      <c r="C80" s="37">
        <f>C81+C82+C83+C84</f>
        <v>45016014</v>
      </c>
      <c r="D80" s="164">
        <f>D81+D82+D83+D84</f>
        <v>44381868</v>
      </c>
    </row>
    <row r="81" spans="1:4" ht="15">
      <c r="A81" s="122" t="s">
        <v>26</v>
      </c>
      <c r="B81" s="127">
        <f>'QUARTERLY STATS - ABs + SHARES'!B183+'QUARTERLY STATS - ABs + SHARES'!C183+'QUARTERLY STATS - ABs + SHARES'!D183+'QUARTERLY STATS - ABs + SHARES'!E183</f>
        <v>16133560</v>
      </c>
      <c r="C81" s="127">
        <f>'QUARTERLY STATS - ABs + SHARES'!F183+'QUARTERLY STATS - ABs + SHARES'!G183+'QUARTERLY STATS - ABs + SHARES'!H183+'QUARTERLY STATS - ABs + SHARES'!I183</f>
        <v>17242609</v>
      </c>
      <c r="D81" s="244">
        <f>'QUARTERLY STATS - ABs + SHARES'!J183+'QUARTERLY STATS - ABs + SHARES'!K183+'QUARTERLY STATS - ABs + SHARES'!L183+'QUARTERLY STATS - ABs + SHARES'!M183</f>
        <v>17146654</v>
      </c>
    </row>
    <row r="82" spans="1:4" ht="15">
      <c r="A82" s="122" t="s">
        <v>27</v>
      </c>
      <c r="B82" s="127">
        <f>'QUARTERLY STATS - ABs + SHARES'!B187+'QUARTERLY STATS - ABs + SHARES'!C187+'QUARTERLY STATS - ABs + SHARES'!D187+'QUARTERLY STATS - ABs + SHARES'!E187</f>
        <v>27881661</v>
      </c>
      <c r="C82" s="127">
        <f>'QUARTERLY STATS - ABs + SHARES'!F187+'QUARTERLY STATS - ABs + SHARES'!G187+'QUARTERLY STATS - ABs + SHARES'!H187+'QUARTERLY STATS - ABs + SHARES'!I187</f>
        <v>26541190</v>
      </c>
      <c r="D82" s="244">
        <f>'QUARTERLY STATS - ABs + SHARES'!J187+'QUARTERLY STATS - ABs + SHARES'!K187+'QUARTERLY STATS - ABs + SHARES'!L187+'QUARTERLY STATS - ABs + SHARES'!M187</f>
        <v>25969973</v>
      </c>
    </row>
    <row r="83" spans="1:4" ht="15">
      <c r="A83" s="122" t="s">
        <v>28</v>
      </c>
      <c r="B83" s="127">
        <f>'QUARTERLY STATS - ABs + SHARES'!B191+'QUARTERLY STATS - ABs + SHARES'!C191+'QUARTERLY STATS - ABs + SHARES'!D191+'QUARTERLY STATS - ABs + SHARES'!E191</f>
        <v>850066</v>
      </c>
      <c r="C83" s="127">
        <f>'QUARTERLY STATS - ABs + SHARES'!F191+'QUARTERLY STATS - ABs + SHARES'!G191+'QUARTERLY STATS - ABs + SHARES'!H191+'QUARTERLY STATS - ABs + SHARES'!I191</f>
        <v>944449</v>
      </c>
      <c r="D83" s="244">
        <f>'QUARTERLY STATS - ABs + SHARES'!J191+'QUARTERLY STATS - ABs + SHARES'!K191+'QUARTERLY STATS - ABs + SHARES'!L191+'QUARTERLY STATS - ABs + SHARES'!M191</f>
        <v>982323</v>
      </c>
    </row>
    <row r="84" spans="1:4" ht="15.75" thickBot="1">
      <c r="A84" s="285" t="s">
        <v>29</v>
      </c>
      <c r="B84" s="286">
        <f>'QUARTERLY STATS - ABs + SHARES'!B195+'QUARTERLY STATS - ABs + SHARES'!C195+'QUARTERLY STATS - ABs + SHARES'!D195+'QUARTERLY STATS - ABs + SHARES'!E195</f>
        <v>242621</v>
      </c>
      <c r="C84" s="286">
        <f>'QUARTERLY STATS - ABs + SHARES'!F195+'QUARTERLY STATS - ABs + SHARES'!G195+'QUARTERLY STATS - ABs + SHARES'!H195+'QUARTERLY STATS - ABs + SHARES'!I195</f>
        <v>287766</v>
      </c>
      <c r="D84" s="287">
        <f>'QUARTERLY STATS - ABs + SHARES'!J195+'QUARTERLY STATS - ABs + SHARES'!K195+'QUARTERLY STATS - ABs + SHARES'!L195+'QUARTERLY STATS - ABs + SHARES'!M195</f>
        <v>282918</v>
      </c>
    </row>
    <row r="85" spans="1:4" s="61" customFormat="1" ht="1.5" customHeight="1" thickBot="1">
      <c r="A85" s="92"/>
      <c r="B85" s="93"/>
      <c r="C85" s="94"/>
      <c r="D85" s="172"/>
    </row>
    <row r="86" spans="1:3" ht="15">
      <c r="A86" s="2"/>
      <c r="B86" s="2"/>
      <c r="C86" s="2"/>
    </row>
    <row r="87" spans="2:4" ht="15">
      <c r="B87" s="28"/>
      <c r="C87" s="28"/>
      <c r="D87" s="3"/>
    </row>
  </sheetData>
  <sheetProtection password="FF63" sheet="1"/>
  <mergeCells count="9">
    <mergeCell ref="A1:A2"/>
    <mergeCell ref="B1:B2"/>
    <mergeCell ref="C1:C2"/>
    <mergeCell ref="A47:D47"/>
    <mergeCell ref="A61:D61"/>
    <mergeCell ref="A78:D78"/>
    <mergeCell ref="D1:D2"/>
    <mergeCell ref="A4:D4"/>
    <mergeCell ref="A32:D32"/>
  </mergeCells>
  <printOptions/>
  <pageMargins left="0.7086614173228347" right="0.7086614173228347" top="0.7480314960629921" bottom="0.7480314960629921" header="0.31496062992125984" footer="0.31496062992125984"/>
  <pageSetup fitToHeight="1" fitToWidth="1" horizontalDpi="300" verticalDpi="300" orientation="portrait" paperSize="9" scale="79" r:id="rId1"/>
</worksheet>
</file>

<file path=xl/worksheets/sheet3.xml><?xml version="1.0" encoding="utf-8"?>
<worksheet xmlns="http://schemas.openxmlformats.org/spreadsheetml/2006/main" xmlns:r="http://schemas.openxmlformats.org/officeDocument/2006/relationships">
  <dimension ref="A4:AA81"/>
  <sheetViews>
    <sheetView view="pageBreakPreview" zoomScale="90" zoomScaleSheetLayoutView="90" zoomScalePageLayoutView="0" workbookViewId="0" topLeftCell="C16">
      <selection activeCell="C27" sqref="C27:AA27"/>
    </sheetView>
  </sheetViews>
  <sheetFormatPr defaultColWidth="9.140625" defaultRowHeight="15"/>
  <cols>
    <col min="1" max="1" width="4.8515625" style="1" customWidth="1"/>
    <col min="2" max="2" width="34.57421875" style="0" customWidth="1"/>
  </cols>
  <sheetData>
    <row r="1" ht="3" customHeight="1"/>
    <row r="2" s="234" customFormat="1" ht="3.75" customHeight="1"/>
    <row r="3" s="234" customFormat="1" ht="3.75" customHeight="1"/>
    <row r="4" spans="1:2" s="103" customFormat="1" ht="15">
      <c r="A4" s="103" t="s">
        <v>43</v>
      </c>
      <c r="B4" s="104" t="s">
        <v>4</v>
      </c>
    </row>
    <row r="5" s="234" customFormat="1" ht="3" customHeight="1">
      <c r="A5" s="234">
        <v>1</v>
      </c>
    </row>
    <row r="6" spans="1:27" s="102" customFormat="1" ht="15">
      <c r="A6" s="102" t="s">
        <v>44</v>
      </c>
      <c r="B6" s="8" t="s">
        <v>10</v>
      </c>
      <c r="C6" s="110" t="s">
        <v>71</v>
      </c>
      <c r="D6" s="110"/>
      <c r="E6" s="110"/>
      <c r="F6" s="110"/>
      <c r="G6" s="110"/>
      <c r="H6" s="110"/>
      <c r="I6" s="110"/>
      <c r="J6" s="110"/>
      <c r="K6" s="110"/>
      <c r="L6" s="110"/>
      <c r="M6" s="110"/>
      <c r="N6" s="110"/>
      <c r="O6" s="110"/>
      <c r="P6" s="110"/>
      <c r="Q6" s="110"/>
      <c r="R6" s="110"/>
      <c r="S6" s="110"/>
      <c r="T6" s="110"/>
      <c r="U6" s="110"/>
      <c r="V6" s="110"/>
      <c r="W6" s="110"/>
      <c r="X6" s="110"/>
      <c r="Y6" s="110"/>
      <c r="Z6" s="110"/>
      <c r="AA6" s="110"/>
    </row>
    <row r="7" spans="1:27" ht="15">
      <c r="A7" s="267"/>
      <c r="B7" s="269" t="s">
        <v>66</v>
      </c>
      <c r="C7" s="337" t="s">
        <v>65</v>
      </c>
      <c r="D7" s="321"/>
      <c r="E7" s="321"/>
      <c r="F7" s="321"/>
      <c r="G7" s="321"/>
      <c r="H7" s="321"/>
      <c r="I7" s="321"/>
      <c r="J7" s="321"/>
      <c r="K7" s="321"/>
      <c r="L7" s="321"/>
      <c r="M7" s="321"/>
      <c r="N7" s="321"/>
      <c r="O7" s="321"/>
      <c r="P7" s="321"/>
      <c r="Q7" s="321"/>
      <c r="R7" s="321"/>
      <c r="S7" s="321"/>
      <c r="T7" s="321"/>
      <c r="U7" s="321"/>
      <c r="V7" s="321"/>
      <c r="W7" s="321"/>
      <c r="X7" s="321"/>
      <c r="Y7" s="321"/>
      <c r="Z7" s="321"/>
      <c r="AA7" s="321"/>
    </row>
    <row r="8" spans="1:27" ht="15">
      <c r="A8" s="267"/>
      <c r="B8" s="122" t="s">
        <v>67</v>
      </c>
      <c r="C8" s="337" t="s">
        <v>70</v>
      </c>
      <c r="D8" s="321"/>
      <c r="E8" s="321"/>
      <c r="F8" s="321"/>
      <c r="G8" s="321"/>
      <c r="H8" s="321"/>
      <c r="I8" s="321"/>
      <c r="J8" s="321"/>
      <c r="K8" s="321"/>
      <c r="L8" s="321"/>
      <c r="M8" s="321"/>
      <c r="N8" s="321"/>
      <c r="O8" s="321"/>
      <c r="P8" s="321"/>
      <c r="Q8" s="321"/>
      <c r="R8" s="321"/>
      <c r="S8" s="321"/>
      <c r="T8" s="321"/>
      <c r="U8" s="321"/>
      <c r="V8" s="321"/>
      <c r="W8" s="321"/>
      <c r="X8" s="321"/>
      <c r="Y8" s="321"/>
      <c r="Z8" s="321"/>
      <c r="AA8" s="321"/>
    </row>
    <row r="9" spans="2:27" s="234" customFormat="1" ht="3" customHeight="1">
      <c r="B9" s="226"/>
      <c r="C9" s="268"/>
      <c r="D9" s="266"/>
      <c r="E9" s="266"/>
      <c r="F9" s="266"/>
      <c r="G9" s="266"/>
      <c r="H9" s="266"/>
      <c r="I9" s="266"/>
      <c r="J9" s="266"/>
      <c r="K9" s="266"/>
      <c r="L9" s="266"/>
      <c r="M9" s="266"/>
      <c r="N9" s="266"/>
      <c r="O9" s="266"/>
      <c r="P9" s="266"/>
      <c r="Q9" s="266"/>
      <c r="R9" s="266"/>
      <c r="S9" s="266"/>
      <c r="T9" s="266"/>
      <c r="U9" s="266"/>
      <c r="V9" s="266"/>
      <c r="W9" s="266"/>
      <c r="X9" s="266"/>
      <c r="Y9" s="266"/>
      <c r="Z9" s="266"/>
      <c r="AA9" s="266"/>
    </row>
    <row r="10" spans="1:27" s="102" customFormat="1" ht="15">
      <c r="A10" s="102" t="s">
        <v>45</v>
      </c>
      <c r="B10" s="8" t="s">
        <v>11</v>
      </c>
      <c r="C10" s="325" t="s">
        <v>68</v>
      </c>
      <c r="D10" s="323"/>
      <c r="E10" s="323"/>
      <c r="F10" s="323"/>
      <c r="G10" s="323"/>
      <c r="H10" s="323"/>
      <c r="I10" s="323"/>
      <c r="J10" s="323"/>
      <c r="K10" s="323"/>
      <c r="L10" s="323"/>
      <c r="M10" s="323"/>
      <c r="N10" s="323"/>
      <c r="O10" s="323"/>
      <c r="P10" s="323"/>
      <c r="Q10" s="323"/>
      <c r="R10" s="110"/>
      <c r="S10" s="110"/>
      <c r="T10" s="110"/>
      <c r="U10" s="110"/>
      <c r="V10" s="110"/>
      <c r="W10" s="110"/>
      <c r="X10" s="110"/>
      <c r="Y10" s="110"/>
      <c r="Z10" s="110"/>
      <c r="AA10" s="110"/>
    </row>
    <row r="11" spans="2:27" s="234" customFormat="1" ht="3" customHeight="1">
      <c r="B11" s="226"/>
      <c r="C11" s="271"/>
      <c r="D11" s="271"/>
      <c r="E11" s="271"/>
      <c r="F11" s="271"/>
      <c r="G11" s="271"/>
      <c r="H11" s="271"/>
      <c r="I11" s="271"/>
      <c r="J11" s="271"/>
      <c r="K11" s="271"/>
      <c r="L11" s="271"/>
      <c r="M11" s="271"/>
      <c r="N11" s="271"/>
      <c r="O11" s="271"/>
      <c r="P11" s="271"/>
      <c r="Q11" s="271"/>
      <c r="R11" s="271"/>
      <c r="S11" s="271"/>
      <c r="T11" s="271"/>
      <c r="U11" s="271"/>
      <c r="V11" s="271"/>
      <c r="W11" s="271"/>
      <c r="X11" s="271"/>
      <c r="Y11" s="271"/>
      <c r="Z11" s="271"/>
      <c r="AA11" s="271"/>
    </row>
    <row r="12" spans="1:27" s="102" customFormat="1" ht="15">
      <c r="A12" s="102" t="s">
        <v>46</v>
      </c>
      <c r="B12" s="8" t="s">
        <v>36</v>
      </c>
      <c r="C12" s="325" t="s">
        <v>69</v>
      </c>
      <c r="D12" s="323"/>
      <c r="E12" s="323"/>
      <c r="F12" s="323"/>
      <c r="G12" s="323"/>
      <c r="H12" s="323"/>
      <c r="I12" s="323"/>
      <c r="J12" s="323"/>
      <c r="K12" s="323"/>
      <c r="L12" s="323"/>
      <c r="M12" s="323"/>
      <c r="N12" s="323"/>
      <c r="O12" s="323"/>
      <c r="P12" s="323"/>
      <c r="Q12" s="323"/>
      <c r="R12" s="110"/>
      <c r="S12" s="110"/>
      <c r="T12" s="110"/>
      <c r="U12" s="110"/>
      <c r="V12" s="110"/>
      <c r="W12" s="110"/>
      <c r="X12" s="110"/>
      <c r="Y12" s="110"/>
      <c r="Z12" s="110"/>
      <c r="AA12" s="110"/>
    </row>
    <row r="13" spans="2:27" s="234" customFormat="1" ht="3.75" customHeight="1">
      <c r="B13" s="226"/>
      <c r="C13" s="271"/>
      <c r="D13" s="271"/>
      <c r="E13" s="271"/>
      <c r="F13" s="271"/>
      <c r="G13" s="271"/>
      <c r="H13" s="271"/>
      <c r="I13" s="271"/>
      <c r="J13" s="271"/>
      <c r="K13" s="271"/>
      <c r="L13" s="271"/>
      <c r="M13" s="271"/>
      <c r="N13" s="271"/>
      <c r="O13" s="271"/>
      <c r="P13" s="271"/>
      <c r="Q13" s="271"/>
      <c r="R13" s="271"/>
      <c r="S13" s="271"/>
      <c r="T13" s="271"/>
      <c r="U13" s="271"/>
      <c r="V13" s="271"/>
      <c r="W13" s="271"/>
      <c r="X13" s="271"/>
      <c r="Y13" s="271"/>
      <c r="Z13" s="271"/>
      <c r="AA13" s="271"/>
    </row>
    <row r="14" spans="1:27" s="102" customFormat="1" ht="15">
      <c r="A14" s="102" t="s">
        <v>47</v>
      </c>
      <c r="B14" s="8" t="s">
        <v>12</v>
      </c>
      <c r="C14" s="325" t="s">
        <v>197</v>
      </c>
      <c r="D14" s="323"/>
      <c r="E14" s="323"/>
      <c r="F14" s="323"/>
      <c r="G14" s="323"/>
      <c r="H14" s="323"/>
      <c r="I14" s="323"/>
      <c r="J14" s="323"/>
      <c r="K14" s="323"/>
      <c r="L14" s="323"/>
      <c r="M14" s="323"/>
      <c r="N14" s="323"/>
      <c r="O14" s="323"/>
      <c r="P14" s="323"/>
      <c r="Q14" s="323"/>
      <c r="R14" s="110"/>
      <c r="S14" s="110"/>
      <c r="T14" s="110"/>
      <c r="U14" s="110"/>
      <c r="V14" s="110"/>
      <c r="W14" s="110"/>
      <c r="X14" s="110"/>
      <c r="Y14" s="110"/>
      <c r="Z14" s="110"/>
      <c r="AA14" s="110"/>
    </row>
    <row r="15" spans="2:27" s="234" customFormat="1" ht="3.75" customHeight="1">
      <c r="B15" s="226"/>
      <c r="C15" s="271"/>
      <c r="D15" s="271"/>
      <c r="E15" s="271"/>
      <c r="F15" s="271"/>
      <c r="G15" s="271"/>
      <c r="H15" s="271"/>
      <c r="I15" s="271"/>
      <c r="J15" s="271"/>
      <c r="K15" s="271"/>
      <c r="L15" s="271"/>
      <c r="M15" s="271"/>
      <c r="N15" s="271"/>
      <c r="O15" s="271"/>
      <c r="P15" s="271"/>
      <c r="Q15" s="271"/>
      <c r="R15" s="271"/>
      <c r="S15" s="271"/>
      <c r="T15" s="271"/>
      <c r="U15" s="271"/>
      <c r="V15" s="271"/>
      <c r="W15" s="271"/>
      <c r="X15" s="271"/>
      <c r="Y15" s="271"/>
      <c r="Z15" s="271"/>
      <c r="AA15" s="271"/>
    </row>
    <row r="16" spans="1:27" s="102" customFormat="1" ht="15">
      <c r="A16" s="102" t="s">
        <v>48</v>
      </c>
      <c r="B16" s="8" t="s">
        <v>37</v>
      </c>
      <c r="C16" s="325" t="s">
        <v>196</v>
      </c>
      <c r="D16" s="323"/>
      <c r="E16" s="323"/>
      <c r="F16" s="323"/>
      <c r="G16" s="323"/>
      <c r="H16" s="323"/>
      <c r="I16" s="323"/>
      <c r="J16" s="323"/>
      <c r="K16" s="323"/>
      <c r="L16" s="323"/>
      <c r="M16" s="323"/>
      <c r="N16" s="323"/>
      <c r="O16" s="323"/>
      <c r="P16" s="323"/>
      <c r="Q16" s="323"/>
      <c r="R16" s="110"/>
      <c r="S16" s="110"/>
      <c r="T16" s="110"/>
      <c r="U16" s="110"/>
      <c r="V16" s="110"/>
      <c r="W16" s="110"/>
      <c r="X16" s="110"/>
      <c r="Y16" s="110"/>
      <c r="Z16" s="110"/>
      <c r="AA16" s="110"/>
    </row>
    <row r="17" spans="2:27" s="234" customFormat="1" ht="3.75" customHeight="1">
      <c r="B17" s="226"/>
      <c r="C17" s="271"/>
      <c r="D17" s="271"/>
      <c r="E17" s="271"/>
      <c r="F17" s="271"/>
      <c r="G17" s="271"/>
      <c r="H17" s="271"/>
      <c r="I17" s="271"/>
      <c r="J17" s="271"/>
      <c r="K17" s="271"/>
      <c r="L17" s="271"/>
      <c r="M17" s="271"/>
      <c r="N17" s="271"/>
      <c r="O17" s="271"/>
      <c r="P17" s="271"/>
      <c r="Q17" s="271"/>
      <c r="R17" s="271"/>
      <c r="S17" s="271"/>
      <c r="T17" s="271"/>
      <c r="U17" s="271"/>
      <c r="V17" s="271"/>
      <c r="W17" s="271"/>
      <c r="X17" s="271"/>
      <c r="Y17" s="271"/>
      <c r="Z17" s="271"/>
      <c r="AA17" s="271"/>
    </row>
    <row r="18" spans="1:27" s="102" customFormat="1" ht="15">
      <c r="A18" s="102" t="s">
        <v>49</v>
      </c>
      <c r="B18" s="8" t="s">
        <v>38</v>
      </c>
      <c r="C18" s="110"/>
      <c r="D18" s="110"/>
      <c r="E18" s="110"/>
      <c r="F18" s="110"/>
      <c r="G18" s="110"/>
      <c r="H18" s="110"/>
      <c r="I18" s="110"/>
      <c r="J18" s="110"/>
      <c r="K18" s="110"/>
      <c r="L18" s="110"/>
      <c r="M18" s="110"/>
      <c r="N18" s="110"/>
      <c r="O18" s="110"/>
      <c r="P18" s="110"/>
      <c r="Q18" s="110"/>
      <c r="R18" s="110"/>
      <c r="S18" s="110"/>
      <c r="T18" s="110"/>
      <c r="U18" s="110"/>
      <c r="V18" s="110"/>
      <c r="W18" s="110"/>
      <c r="X18" s="110"/>
      <c r="Y18" s="110"/>
      <c r="Z18" s="110"/>
      <c r="AA18" s="110"/>
    </row>
    <row r="19" spans="1:27" s="106" customFormat="1" ht="15">
      <c r="A19" s="106" t="s">
        <v>89</v>
      </c>
      <c r="B19" s="77" t="s">
        <v>18</v>
      </c>
      <c r="C19" s="111"/>
      <c r="D19" s="111"/>
      <c r="E19" s="111"/>
      <c r="F19" s="111"/>
      <c r="G19" s="111"/>
      <c r="H19" s="111"/>
      <c r="I19" s="111"/>
      <c r="J19" s="111"/>
      <c r="K19" s="111"/>
      <c r="L19" s="111"/>
      <c r="M19" s="111"/>
      <c r="N19" s="111"/>
      <c r="O19" s="111"/>
      <c r="P19" s="111"/>
      <c r="Q19" s="111"/>
      <c r="R19" s="111"/>
      <c r="S19" s="111"/>
      <c r="T19" s="111"/>
      <c r="U19" s="111"/>
      <c r="V19" s="111"/>
      <c r="W19" s="111"/>
      <c r="X19" s="111"/>
      <c r="Y19" s="111"/>
      <c r="Z19" s="111"/>
      <c r="AA19" s="111"/>
    </row>
    <row r="20" spans="1:27" ht="15">
      <c r="A20" s="267"/>
      <c r="B20" s="122" t="s">
        <v>35</v>
      </c>
      <c r="C20" s="327" t="s">
        <v>72</v>
      </c>
      <c r="D20" s="321"/>
      <c r="E20" s="321"/>
      <c r="F20" s="321"/>
      <c r="G20" s="321"/>
      <c r="H20" s="321"/>
      <c r="I20" s="321"/>
      <c r="J20" s="321"/>
      <c r="K20" s="321"/>
      <c r="L20" s="321"/>
      <c r="M20" s="321"/>
      <c r="N20" s="321"/>
      <c r="O20" s="321"/>
      <c r="P20" s="321"/>
      <c r="Q20" s="321"/>
      <c r="R20" s="321"/>
      <c r="S20" s="321"/>
      <c r="T20" s="321"/>
      <c r="U20" s="321"/>
      <c r="V20" s="321"/>
      <c r="W20" s="321"/>
      <c r="X20" s="321"/>
      <c r="Y20" s="321"/>
      <c r="Z20" s="321"/>
      <c r="AA20" s="321"/>
    </row>
    <row r="21" spans="1:27" ht="15">
      <c r="A21" s="267"/>
      <c r="B21" s="122" t="s">
        <v>34</v>
      </c>
      <c r="C21" s="327" t="s">
        <v>73</v>
      </c>
      <c r="D21" s="321"/>
      <c r="E21" s="321"/>
      <c r="F21" s="321"/>
      <c r="G21" s="321"/>
      <c r="H21" s="321"/>
      <c r="I21" s="321"/>
      <c r="J21" s="321"/>
      <c r="K21" s="321"/>
      <c r="L21" s="321"/>
      <c r="M21" s="321"/>
      <c r="N21" s="321"/>
      <c r="O21" s="321"/>
      <c r="P21" s="321"/>
      <c r="Q21" s="321"/>
      <c r="R21" s="321"/>
      <c r="S21" s="321"/>
      <c r="T21" s="321"/>
      <c r="U21" s="321"/>
      <c r="V21" s="321"/>
      <c r="W21" s="321"/>
      <c r="X21" s="321"/>
      <c r="Y21" s="321"/>
      <c r="Z21" s="321"/>
      <c r="AA21" s="321"/>
    </row>
    <row r="22" spans="1:27" s="106" customFormat="1" ht="15">
      <c r="A22" s="106" t="s">
        <v>90</v>
      </c>
      <c r="B22" s="77" t="s">
        <v>19</v>
      </c>
      <c r="C22" s="111"/>
      <c r="D22" s="111"/>
      <c r="E22" s="111"/>
      <c r="F22" s="111"/>
      <c r="G22" s="111"/>
      <c r="H22" s="111"/>
      <c r="I22" s="111"/>
      <c r="J22" s="111"/>
      <c r="K22" s="111"/>
      <c r="L22" s="111"/>
      <c r="M22" s="111"/>
      <c r="N22" s="111"/>
      <c r="O22" s="111"/>
      <c r="P22" s="111"/>
      <c r="Q22" s="111"/>
      <c r="R22" s="111"/>
      <c r="S22" s="111"/>
      <c r="T22" s="111"/>
      <c r="U22" s="111"/>
      <c r="V22" s="111"/>
      <c r="W22" s="111"/>
      <c r="X22" s="111"/>
      <c r="Y22" s="111"/>
      <c r="Z22" s="111"/>
      <c r="AA22" s="111"/>
    </row>
    <row r="23" spans="1:27" ht="15">
      <c r="A23" s="267"/>
      <c r="B23" s="122" t="s">
        <v>35</v>
      </c>
      <c r="C23" s="327" t="s">
        <v>74</v>
      </c>
      <c r="D23" s="321"/>
      <c r="E23" s="321"/>
      <c r="F23" s="321"/>
      <c r="G23" s="321"/>
      <c r="H23" s="321"/>
      <c r="I23" s="321"/>
      <c r="J23" s="321"/>
      <c r="K23" s="321"/>
      <c r="L23" s="321"/>
      <c r="M23" s="321"/>
      <c r="N23" s="321"/>
      <c r="O23" s="321"/>
      <c r="P23" s="321"/>
      <c r="Q23" s="321"/>
      <c r="R23" s="321"/>
      <c r="S23" s="321"/>
      <c r="T23" s="321"/>
      <c r="U23" s="321"/>
      <c r="V23" s="321"/>
      <c r="W23" s="321"/>
      <c r="X23" s="321"/>
      <c r="Y23" s="321"/>
      <c r="Z23" s="321"/>
      <c r="AA23" s="321"/>
    </row>
    <row r="24" spans="1:27" ht="15">
      <c r="A24" s="267"/>
      <c r="B24" s="122" t="s">
        <v>34</v>
      </c>
      <c r="C24" s="327" t="s">
        <v>75</v>
      </c>
      <c r="D24" s="321"/>
      <c r="E24" s="321"/>
      <c r="F24" s="321"/>
      <c r="G24" s="321"/>
      <c r="H24" s="321"/>
      <c r="I24" s="321"/>
      <c r="J24" s="321"/>
      <c r="K24" s="321"/>
      <c r="L24" s="321"/>
      <c r="M24" s="321"/>
      <c r="N24" s="321"/>
      <c r="O24" s="321"/>
      <c r="P24" s="321"/>
      <c r="Q24" s="321"/>
      <c r="R24" s="321"/>
      <c r="S24" s="321"/>
      <c r="T24" s="321"/>
      <c r="U24" s="321"/>
      <c r="V24" s="321"/>
      <c r="W24" s="321"/>
      <c r="X24" s="321"/>
      <c r="Y24" s="321"/>
      <c r="Z24" s="321"/>
      <c r="AA24" s="321"/>
    </row>
    <row r="25" spans="1:27" s="102" customFormat="1" ht="46.5" customHeight="1">
      <c r="A25" s="112" t="s">
        <v>50</v>
      </c>
      <c r="B25" s="109" t="s">
        <v>13</v>
      </c>
      <c r="C25" s="334" t="s">
        <v>229</v>
      </c>
      <c r="D25" s="335"/>
      <c r="E25" s="335"/>
      <c r="F25" s="335"/>
      <c r="G25" s="335"/>
      <c r="H25" s="335"/>
      <c r="I25" s="335"/>
      <c r="J25" s="335"/>
      <c r="K25" s="335"/>
      <c r="L25" s="335"/>
      <c r="M25" s="335"/>
      <c r="N25" s="335"/>
      <c r="O25" s="335"/>
      <c r="P25" s="335"/>
      <c r="Q25" s="335"/>
      <c r="R25" s="335"/>
      <c r="S25" s="335"/>
      <c r="T25" s="335"/>
      <c r="U25" s="335"/>
      <c r="V25" s="335"/>
      <c r="W25" s="335"/>
      <c r="X25" s="335"/>
      <c r="Y25" s="335"/>
      <c r="Z25" s="335"/>
      <c r="AA25" s="335"/>
    </row>
    <row r="26" spans="2:27" s="234" customFormat="1" ht="3.75" customHeight="1">
      <c r="B26" s="226"/>
      <c r="C26" s="271"/>
      <c r="D26" s="271"/>
      <c r="E26" s="271"/>
      <c r="F26" s="271"/>
      <c r="G26" s="271"/>
      <c r="H26" s="271"/>
      <c r="I26" s="271"/>
      <c r="J26" s="271"/>
      <c r="K26" s="271"/>
      <c r="L26" s="271"/>
      <c r="M26" s="271"/>
      <c r="N26" s="271"/>
      <c r="O26" s="271"/>
      <c r="P26" s="271"/>
      <c r="Q26" s="271"/>
      <c r="R26" s="271"/>
      <c r="S26" s="271"/>
      <c r="T26" s="271"/>
      <c r="U26" s="271"/>
      <c r="V26" s="271"/>
      <c r="W26" s="271"/>
      <c r="X26" s="271"/>
      <c r="Y26" s="271"/>
      <c r="Z26" s="271"/>
      <c r="AA26" s="271"/>
    </row>
    <row r="27" spans="1:27" s="102" customFormat="1" ht="15">
      <c r="A27" s="102" t="s">
        <v>51</v>
      </c>
      <c r="B27" s="8" t="s">
        <v>5</v>
      </c>
      <c r="C27" s="332" t="s">
        <v>101</v>
      </c>
      <c r="D27" s="333"/>
      <c r="E27" s="333"/>
      <c r="F27" s="333"/>
      <c r="G27" s="333"/>
      <c r="H27" s="333"/>
      <c r="I27" s="333"/>
      <c r="J27" s="333"/>
      <c r="K27" s="333"/>
      <c r="L27" s="333"/>
      <c r="M27" s="333"/>
      <c r="N27" s="333"/>
      <c r="O27" s="333"/>
      <c r="P27" s="333"/>
      <c r="Q27" s="333"/>
      <c r="R27" s="333"/>
      <c r="S27" s="333"/>
      <c r="T27" s="333"/>
      <c r="U27" s="333"/>
      <c r="V27" s="333"/>
      <c r="W27" s="333"/>
      <c r="X27" s="333"/>
      <c r="Y27" s="333"/>
      <c r="Z27" s="333"/>
      <c r="AA27" s="333"/>
    </row>
    <row r="28" spans="2:27" s="234" customFormat="1" ht="3.75" customHeight="1">
      <c r="B28" s="226"/>
      <c r="C28" s="271"/>
      <c r="D28" s="271"/>
      <c r="E28" s="271"/>
      <c r="F28" s="271"/>
      <c r="G28" s="271"/>
      <c r="H28" s="271"/>
      <c r="I28" s="271"/>
      <c r="J28" s="271"/>
      <c r="K28" s="271"/>
      <c r="L28" s="271"/>
      <c r="M28" s="271"/>
      <c r="N28" s="271"/>
      <c r="O28" s="271"/>
      <c r="P28" s="271"/>
      <c r="Q28" s="271"/>
      <c r="R28" s="271"/>
      <c r="S28" s="271"/>
      <c r="T28" s="271"/>
      <c r="U28" s="271"/>
      <c r="V28" s="271"/>
      <c r="W28" s="271"/>
      <c r="X28" s="271"/>
      <c r="Y28" s="271"/>
      <c r="Z28" s="271"/>
      <c r="AA28" s="271"/>
    </row>
    <row r="29" spans="1:27" s="102" customFormat="1" ht="15">
      <c r="A29" s="102" t="s">
        <v>52</v>
      </c>
      <c r="B29" s="8" t="s">
        <v>40</v>
      </c>
      <c r="C29" s="328" t="s">
        <v>198</v>
      </c>
      <c r="D29" s="336"/>
      <c r="E29" s="336"/>
      <c r="F29" s="336"/>
      <c r="G29" s="336"/>
      <c r="H29" s="336"/>
      <c r="I29" s="336"/>
      <c r="J29" s="336"/>
      <c r="K29" s="336"/>
      <c r="L29" s="336"/>
      <c r="M29" s="336"/>
      <c r="N29" s="336"/>
      <c r="O29" s="336"/>
      <c r="P29" s="336"/>
      <c r="Q29" s="336"/>
      <c r="R29" s="336"/>
      <c r="S29" s="336"/>
      <c r="T29" s="336"/>
      <c r="U29" s="336"/>
      <c r="V29" s="336"/>
      <c r="W29" s="336"/>
      <c r="X29" s="336"/>
      <c r="Y29" s="336"/>
      <c r="Z29" s="336"/>
      <c r="AA29" s="336"/>
    </row>
    <row r="30" s="274" customFormat="1" ht="15"/>
    <row r="31" spans="1:17" s="103" customFormat="1" ht="15">
      <c r="A31" s="103" t="s">
        <v>53</v>
      </c>
      <c r="B31" s="104" t="s">
        <v>6</v>
      </c>
      <c r="C31" s="105"/>
      <c r="D31" s="105"/>
      <c r="E31" s="105"/>
      <c r="F31" s="105"/>
      <c r="G31" s="105"/>
      <c r="H31" s="105"/>
      <c r="I31" s="105"/>
      <c r="J31" s="105"/>
      <c r="K31" s="105"/>
      <c r="L31" s="105"/>
      <c r="M31" s="105"/>
      <c r="N31" s="105"/>
      <c r="O31" s="105"/>
      <c r="P31" s="105"/>
      <c r="Q31" s="105"/>
    </row>
    <row r="32" s="234" customFormat="1" ht="3.75" customHeight="1"/>
    <row r="33" spans="1:27" s="102" customFormat="1" ht="15">
      <c r="A33" s="102" t="s">
        <v>54</v>
      </c>
      <c r="B33" s="8" t="s">
        <v>10</v>
      </c>
      <c r="C33" s="325" t="s">
        <v>71</v>
      </c>
      <c r="D33" s="326"/>
      <c r="E33" s="326"/>
      <c r="F33" s="326"/>
      <c r="G33" s="326"/>
      <c r="H33" s="326"/>
      <c r="I33" s="326"/>
      <c r="J33" s="326"/>
      <c r="K33" s="326"/>
      <c r="L33" s="326"/>
      <c r="M33" s="326"/>
      <c r="N33" s="326"/>
      <c r="O33" s="326"/>
      <c r="P33" s="326"/>
      <c r="Q33" s="326"/>
      <c r="R33" s="326"/>
      <c r="S33" s="326"/>
      <c r="T33" s="326"/>
      <c r="U33" s="326"/>
      <c r="V33" s="326"/>
      <c r="W33" s="326"/>
      <c r="X33" s="326"/>
      <c r="Y33" s="326"/>
      <c r="Z33" s="326"/>
      <c r="AA33" s="326"/>
    </row>
    <row r="34" spans="1:27" ht="15">
      <c r="A34" s="267"/>
      <c r="B34" s="122" t="s">
        <v>33</v>
      </c>
      <c r="C34" s="327" t="s">
        <v>199</v>
      </c>
      <c r="D34" s="321"/>
      <c r="E34" s="321"/>
      <c r="F34" s="321"/>
      <c r="G34" s="321"/>
      <c r="H34" s="321"/>
      <c r="I34" s="321"/>
      <c r="J34" s="321"/>
      <c r="K34" s="321"/>
      <c r="L34" s="321"/>
      <c r="M34" s="321"/>
      <c r="N34" s="321"/>
      <c r="O34" s="321"/>
      <c r="P34" s="321"/>
      <c r="Q34" s="321"/>
      <c r="R34" s="321"/>
      <c r="S34" s="321"/>
      <c r="T34" s="321"/>
      <c r="U34" s="321"/>
      <c r="V34" s="321"/>
      <c r="W34" s="321"/>
      <c r="X34" s="321"/>
      <c r="Y34" s="321"/>
      <c r="Z34" s="321"/>
      <c r="AA34" s="321"/>
    </row>
    <row r="35" spans="1:27" ht="15">
      <c r="A35" s="267"/>
      <c r="B35" s="122" t="s">
        <v>32</v>
      </c>
      <c r="C35" s="327" t="s">
        <v>200</v>
      </c>
      <c r="D35" s="321"/>
      <c r="E35" s="321"/>
      <c r="F35" s="321"/>
      <c r="G35" s="321"/>
      <c r="H35" s="321"/>
      <c r="I35" s="321"/>
      <c r="J35" s="321"/>
      <c r="K35" s="321"/>
      <c r="L35" s="321"/>
      <c r="M35" s="321"/>
      <c r="N35" s="321"/>
      <c r="O35" s="321"/>
      <c r="P35" s="321"/>
      <c r="Q35" s="321"/>
      <c r="R35" s="321"/>
      <c r="S35" s="321"/>
      <c r="T35" s="321"/>
      <c r="U35" s="321"/>
      <c r="V35" s="321"/>
      <c r="W35" s="321"/>
      <c r="X35" s="321"/>
      <c r="Y35" s="321"/>
      <c r="Z35" s="321"/>
      <c r="AA35" s="321"/>
    </row>
    <row r="36" spans="1:27" ht="15">
      <c r="A36" s="267"/>
      <c r="B36" s="122" t="s">
        <v>41</v>
      </c>
      <c r="C36" s="327" t="s">
        <v>76</v>
      </c>
      <c r="D36" s="321"/>
      <c r="E36" s="321"/>
      <c r="F36" s="321"/>
      <c r="G36" s="321"/>
      <c r="H36" s="321"/>
      <c r="I36" s="321"/>
      <c r="J36" s="321"/>
      <c r="K36" s="321"/>
      <c r="L36" s="321"/>
      <c r="M36" s="321"/>
      <c r="N36" s="321"/>
      <c r="O36" s="321"/>
      <c r="P36" s="321"/>
      <c r="Q36" s="321"/>
      <c r="R36" s="321"/>
      <c r="S36" s="321"/>
      <c r="T36" s="321"/>
      <c r="U36" s="321"/>
      <c r="V36" s="321"/>
      <c r="W36" s="321"/>
      <c r="X36" s="321"/>
      <c r="Y36" s="321"/>
      <c r="Z36" s="321"/>
      <c r="AA36" s="321"/>
    </row>
    <row r="37" spans="2:27" s="234" customFormat="1" ht="3.75" customHeight="1">
      <c r="B37" s="226"/>
      <c r="C37" s="273"/>
      <c r="D37" s="266"/>
      <c r="E37" s="266"/>
      <c r="F37" s="266"/>
      <c r="G37" s="266"/>
      <c r="H37" s="266"/>
      <c r="I37" s="266"/>
      <c r="J37" s="266"/>
      <c r="K37" s="266"/>
      <c r="L37" s="266"/>
      <c r="M37" s="266"/>
      <c r="N37" s="266"/>
      <c r="O37" s="266"/>
      <c r="P37" s="266"/>
      <c r="Q37" s="266"/>
      <c r="R37" s="266"/>
      <c r="S37" s="266"/>
      <c r="T37" s="266"/>
      <c r="U37" s="266"/>
      <c r="V37" s="266"/>
      <c r="W37" s="266"/>
      <c r="X37" s="266"/>
      <c r="Y37" s="266"/>
      <c r="Z37" s="266"/>
      <c r="AA37" s="266"/>
    </row>
    <row r="38" spans="1:27" ht="15">
      <c r="A38" s="102" t="s">
        <v>55</v>
      </c>
      <c r="B38" s="8" t="s">
        <v>11</v>
      </c>
      <c r="C38" s="325" t="s">
        <v>77</v>
      </c>
      <c r="D38" s="326"/>
      <c r="E38" s="326"/>
      <c r="F38" s="326"/>
      <c r="G38" s="326"/>
      <c r="H38" s="326"/>
      <c r="I38" s="326"/>
      <c r="J38" s="326"/>
      <c r="K38" s="326"/>
      <c r="L38" s="326"/>
      <c r="M38" s="326"/>
      <c r="N38" s="326"/>
      <c r="O38" s="326"/>
      <c r="P38" s="326"/>
      <c r="Q38" s="326"/>
      <c r="R38" s="326"/>
      <c r="S38" s="326"/>
      <c r="T38" s="326"/>
      <c r="U38" s="326"/>
      <c r="V38" s="326"/>
      <c r="W38" s="326"/>
      <c r="X38" s="326"/>
      <c r="Y38" s="326"/>
      <c r="Z38" s="326"/>
      <c r="AA38" s="326"/>
    </row>
    <row r="39" spans="2:27" s="234" customFormat="1" ht="2.25" customHeight="1">
      <c r="B39" s="226"/>
      <c r="C39" s="271"/>
      <c r="D39" s="271"/>
      <c r="E39" s="271"/>
      <c r="F39" s="271"/>
      <c r="G39" s="271"/>
      <c r="H39" s="271"/>
      <c r="I39" s="271"/>
      <c r="J39" s="271"/>
      <c r="K39" s="271"/>
      <c r="L39" s="271"/>
      <c r="M39" s="271"/>
      <c r="N39" s="271"/>
      <c r="O39" s="271"/>
      <c r="P39" s="271"/>
      <c r="Q39" s="271"/>
      <c r="R39" s="271"/>
      <c r="S39" s="271"/>
      <c r="T39" s="271"/>
      <c r="U39" s="271"/>
      <c r="V39" s="271"/>
      <c r="W39" s="271"/>
      <c r="X39" s="271"/>
      <c r="Y39" s="271"/>
      <c r="Z39" s="271"/>
      <c r="AA39" s="271"/>
    </row>
    <row r="40" spans="1:27" ht="15">
      <c r="A40" s="102" t="s">
        <v>56</v>
      </c>
      <c r="B40" s="8" t="s">
        <v>36</v>
      </c>
      <c r="C40" s="325" t="s">
        <v>78</v>
      </c>
      <c r="D40" s="326"/>
      <c r="E40" s="326"/>
      <c r="F40" s="326"/>
      <c r="G40" s="326"/>
      <c r="H40" s="326"/>
      <c r="I40" s="326"/>
      <c r="J40" s="326"/>
      <c r="K40" s="326"/>
      <c r="L40" s="326"/>
      <c r="M40" s="326"/>
      <c r="N40" s="326"/>
      <c r="O40" s="326"/>
      <c r="P40" s="326"/>
      <c r="Q40" s="326"/>
      <c r="R40" s="326"/>
      <c r="S40" s="326"/>
      <c r="T40" s="326"/>
      <c r="U40" s="326"/>
      <c r="V40" s="326"/>
      <c r="W40" s="326"/>
      <c r="X40" s="326"/>
      <c r="Y40" s="326"/>
      <c r="Z40" s="326"/>
      <c r="AA40" s="326"/>
    </row>
    <row r="41" spans="2:27" s="234" customFormat="1" ht="2.25" customHeight="1">
      <c r="B41" s="226"/>
      <c r="C41" s="271"/>
      <c r="D41" s="271"/>
      <c r="E41" s="271"/>
      <c r="F41" s="271"/>
      <c r="G41" s="271"/>
      <c r="H41" s="271"/>
      <c r="I41" s="271"/>
      <c r="J41" s="271"/>
      <c r="K41" s="271"/>
      <c r="L41" s="271"/>
      <c r="M41" s="271"/>
      <c r="N41" s="271"/>
      <c r="O41" s="271"/>
      <c r="P41" s="271"/>
      <c r="Q41" s="272"/>
      <c r="R41" s="271"/>
      <c r="S41" s="271"/>
      <c r="T41" s="271"/>
      <c r="U41" s="271"/>
      <c r="V41" s="271"/>
      <c r="W41" s="271"/>
      <c r="X41" s="271"/>
      <c r="Y41" s="271"/>
      <c r="Z41" s="271"/>
      <c r="AA41" s="271"/>
    </row>
    <row r="42" spans="1:27" s="1" customFormat="1" ht="35.25" customHeight="1">
      <c r="A42" s="112" t="s">
        <v>57</v>
      </c>
      <c r="B42" s="109" t="s">
        <v>13</v>
      </c>
      <c r="C42" s="334" t="s">
        <v>230</v>
      </c>
      <c r="D42" s="335"/>
      <c r="E42" s="335"/>
      <c r="F42" s="335"/>
      <c r="G42" s="335"/>
      <c r="H42" s="335"/>
      <c r="I42" s="335"/>
      <c r="J42" s="335"/>
      <c r="K42" s="335"/>
      <c r="L42" s="335"/>
      <c r="M42" s="335"/>
      <c r="N42" s="335"/>
      <c r="O42" s="335"/>
      <c r="P42" s="335"/>
      <c r="Q42" s="335"/>
      <c r="R42" s="335"/>
      <c r="S42" s="335"/>
      <c r="T42" s="335"/>
      <c r="U42" s="335"/>
      <c r="V42" s="335"/>
      <c r="W42" s="335"/>
      <c r="X42" s="335"/>
      <c r="Y42" s="335"/>
      <c r="Z42" s="335"/>
      <c r="AA42" s="335"/>
    </row>
    <row r="43" spans="2:27" s="234" customFormat="1" ht="2.25" customHeight="1">
      <c r="B43" s="226"/>
      <c r="C43" s="271"/>
      <c r="D43" s="271"/>
      <c r="E43" s="271"/>
      <c r="F43" s="271"/>
      <c r="G43" s="271"/>
      <c r="H43" s="271"/>
      <c r="I43" s="271"/>
      <c r="J43" s="271"/>
      <c r="K43" s="271"/>
      <c r="L43" s="271"/>
      <c r="M43" s="271"/>
      <c r="N43" s="271"/>
      <c r="O43" s="271"/>
      <c r="P43" s="271"/>
      <c r="Q43" s="272"/>
      <c r="R43" s="271"/>
      <c r="S43" s="271"/>
      <c r="T43" s="271"/>
      <c r="U43" s="271"/>
      <c r="V43" s="271"/>
      <c r="W43" s="271"/>
      <c r="X43" s="271"/>
      <c r="Y43" s="271"/>
      <c r="Z43" s="271"/>
      <c r="AA43" s="271"/>
    </row>
    <row r="44" spans="1:27" ht="15">
      <c r="A44" s="102" t="s">
        <v>214</v>
      </c>
      <c r="B44" s="8" t="s">
        <v>39</v>
      </c>
      <c r="C44" s="328" t="s">
        <v>201</v>
      </c>
      <c r="D44" s="329"/>
      <c r="E44" s="329"/>
      <c r="F44" s="329"/>
      <c r="G44" s="329"/>
      <c r="H44" s="329"/>
      <c r="I44" s="329"/>
      <c r="J44" s="329"/>
      <c r="K44" s="329"/>
      <c r="L44" s="329"/>
      <c r="M44" s="329"/>
      <c r="N44" s="329"/>
      <c r="O44" s="329"/>
      <c r="P44" s="329"/>
      <c r="Q44" s="329"/>
      <c r="R44" s="329"/>
      <c r="S44" s="329"/>
      <c r="T44" s="329"/>
      <c r="U44" s="329"/>
      <c r="V44" s="329"/>
      <c r="W44" s="329"/>
      <c r="X44" s="329"/>
      <c r="Y44" s="329"/>
      <c r="Z44" s="329"/>
      <c r="AA44" s="329"/>
    </row>
    <row r="45" s="274" customFormat="1" ht="15"/>
    <row r="46" spans="1:17" s="103" customFormat="1" ht="15">
      <c r="A46" s="103" t="s">
        <v>58</v>
      </c>
      <c r="B46" s="104" t="s">
        <v>7</v>
      </c>
      <c r="C46" s="105"/>
      <c r="D46" s="105"/>
      <c r="E46" s="105"/>
      <c r="F46" s="105"/>
      <c r="G46" s="105"/>
      <c r="H46" s="105"/>
      <c r="I46" s="105"/>
      <c r="J46" s="105"/>
      <c r="K46" s="105"/>
      <c r="L46" s="105"/>
      <c r="M46" s="105"/>
      <c r="N46" s="105"/>
      <c r="O46" s="105"/>
      <c r="P46" s="105"/>
      <c r="Q46" s="105"/>
    </row>
    <row r="47" s="234" customFormat="1" ht="5.25" customHeight="1">
      <c r="Q47" s="276"/>
    </row>
    <row r="48" spans="1:27" s="102" customFormat="1" ht="15">
      <c r="A48" s="102" t="s">
        <v>59</v>
      </c>
      <c r="B48" s="8" t="s">
        <v>16</v>
      </c>
      <c r="C48" s="330" t="s">
        <v>79</v>
      </c>
      <c r="D48" s="326"/>
      <c r="E48" s="326"/>
      <c r="F48" s="326"/>
      <c r="G48" s="326"/>
      <c r="H48" s="326"/>
      <c r="I48" s="326"/>
      <c r="J48" s="326"/>
      <c r="K48" s="326"/>
      <c r="L48" s="326"/>
      <c r="M48" s="326"/>
      <c r="N48" s="326"/>
      <c r="O48" s="326"/>
      <c r="P48" s="326"/>
      <c r="Q48" s="326"/>
      <c r="R48" s="326"/>
      <c r="S48" s="326"/>
      <c r="T48" s="326"/>
      <c r="U48" s="326"/>
      <c r="V48" s="326"/>
      <c r="W48" s="326"/>
      <c r="X48" s="326"/>
      <c r="Y48" s="326"/>
      <c r="Z48" s="326"/>
      <c r="AA48" s="326"/>
    </row>
    <row r="49" spans="1:27" s="106" customFormat="1" ht="15">
      <c r="A49" s="106" t="s">
        <v>91</v>
      </c>
      <c r="B49" s="77" t="s">
        <v>22</v>
      </c>
      <c r="C49" s="343" t="s">
        <v>80</v>
      </c>
      <c r="D49" s="344"/>
      <c r="E49" s="344"/>
      <c r="F49" s="344"/>
      <c r="G49" s="344"/>
      <c r="H49" s="344"/>
      <c r="I49" s="344"/>
      <c r="J49" s="344"/>
      <c r="K49" s="344"/>
      <c r="L49" s="344"/>
      <c r="M49" s="344"/>
      <c r="N49" s="344"/>
      <c r="O49" s="344"/>
      <c r="P49" s="344"/>
      <c r="Q49" s="344"/>
      <c r="R49" s="344"/>
      <c r="S49" s="344"/>
      <c r="T49" s="344"/>
      <c r="U49" s="344"/>
      <c r="V49" s="344"/>
      <c r="W49" s="344"/>
      <c r="X49" s="344"/>
      <c r="Y49" s="344"/>
      <c r="Z49" s="344"/>
      <c r="AA49" s="344"/>
    </row>
    <row r="50" spans="2:27" s="234" customFormat="1" ht="3.75" customHeight="1">
      <c r="B50" s="226"/>
      <c r="C50" s="271"/>
      <c r="D50" s="271"/>
      <c r="E50" s="271"/>
      <c r="F50" s="271"/>
      <c r="G50" s="271"/>
      <c r="H50" s="271"/>
      <c r="I50" s="271"/>
      <c r="J50" s="271"/>
      <c r="K50" s="271"/>
      <c r="L50" s="271"/>
      <c r="M50" s="271"/>
      <c r="N50" s="271"/>
      <c r="O50" s="271"/>
      <c r="P50" s="271"/>
      <c r="Q50" s="272"/>
      <c r="R50" s="271"/>
      <c r="S50" s="271"/>
      <c r="T50" s="271"/>
      <c r="U50" s="271"/>
      <c r="V50" s="271"/>
      <c r="W50" s="271"/>
      <c r="X50" s="271"/>
      <c r="Y50" s="271"/>
      <c r="Z50" s="271"/>
      <c r="AA50" s="271"/>
    </row>
    <row r="51" spans="1:27" s="106" customFormat="1" ht="15">
      <c r="A51" s="106" t="s">
        <v>92</v>
      </c>
      <c r="B51" s="77" t="s">
        <v>21</v>
      </c>
      <c r="C51" s="331" t="s">
        <v>81</v>
      </c>
      <c r="D51" s="323"/>
      <c r="E51" s="323"/>
      <c r="F51" s="323"/>
      <c r="G51" s="323"/>
      <c r="H51" s="323"/>
      <c r="I51" s="323"/>
      <c r="J51" s="323"/>
      <c r="K51" s="323"/>
      <c r="L51" s="323"/>
      <c r="M51" s="323"/>
      <c r="N51" s="323"/>
      <c r="O51" s="323"/>
      <c r="P51" s="323"/>
      <c r="Q51" s="323"/>
      <c r="R51" s="323"/>
      <c r="S51" s="323"/>
      <c r="T51" s="323"/>
      <c r="U51" s="323"/>
      <c r="V51" s="323"/>
      <c r="W51" s="323"/>
      <c r="X51" s="323"/>
      <c r="Y51" s="323"/>
      <c r="Z51" s="323"/>
      <c r="AA51" s="323"/>
    </row>
    <row r="52" spans="1:27" ht="15">
      <c r="A52" s="267"/>
      <c r="B52" s="122" t="s">
        <v>24</v>
      </c>
      <c r="C52" s="324" t="s">
        <v>82</v>
      </c>
      <c r="D52" s="321"/>
      <c r="E52" s="321"/>
      <c r="F52" s="321"/>
      <c r="G52" s="321"/>
      <c r="H52" s="321"/>
      <c r="I52" s="321"/>
      <c r="J52" s="321"/>
      <c r="K52" s="321"/>
      <c r="L52" s="321"/>
      <c r="M52" s="321"/>
      <c r="N52" s="321"/>
      <c r="O52" s="321"/>
      <c r="P52" s="321"/>
      <c r="Q52" s="321"/>
      <c r="R52" s="321"/>
      <c r="S52" s="321"/>
      <c r="T52" s="321"/>
      <c r="U52" s="321"/>
      <c r="V52" s="321"/>
      <c r="W52" s="321"/>
      <c r="X52" s="321"/>
      <c r="Y52" s="321"/>
      <c r="Z52" s="321"/>
      <c r="AA52" s="321"/>
    </row>
    <row r="53" spans="1:27" ht="15">
      <c r="A53" s="267"/>
      <c r="B53" s="122" t="s">
        <v>31</v>
      </c>
      <c r="C53" s="324" t="s">
        <v>83</v>
      </c>
      <c r="D53" s="321"/>
      <c r="E53" s="321"/>
      <c r="F53" s="321"/>
      <c r="G53" s="321"/>
      <c r="H53" s="321"/>
      <c r="I53" s="321"/>
      <c r="J53" s="321"/>
      <c r="K53" s="321"/>
      <c r="L53" s="321"/>
      <c r="M53" s="321"/>
      <c r="N53" s="321"/>
      <c r="O53" s="321"/>
      <c r="P53" s="321"/>
      <c r="Q53" s="321"/>
      <c r="R53" s="321"/>
      <c r="S53" s="321"/>
      <c r="T53" s="321"/>
      <c r="U53" s="321"/>
      <c r="V53" s="321"/>
      <c r="W53" s="321"/>
      <c r="X53" s="321"/>
      <c r="Y53" s="321"/>
      <c r="Z53" s="321"/>
      <c r="AA53" s="321"/>
    </row>
    <row r="54" spans="1:27" ht="15">
      <c r="A54" s="267"/>
      <c r="B54" s="122" t="s">
        <v>169</v>
      </c>
      <c r="C54" s="324" t="s">
        <v>202</v>
      </c>
      <c r="D54" s="321"/>
      <c r="E54" s="321"/>
      <c r="F54" s="321"/>
      <c r="G54" s="321"/>
      <c r="H54" s="321"/>
      <c r="I54" s="321"/>
      <c r="J54" s="321"/>
      <c r="K54" s="321"/>
      <c r="L54" s="321"/>
      <c r="M54" s="321"/>
      <c r="N54" s="321"/>
      <c r="O54" s="321"/>
      <c r="P54" s="321"/>
      <c r="Q54" s="321"/>
      <c r="R54" s="321"/>
      <c r="S54" s="321"/>
      <c r="T54" s="321"/>
      <c r="U54" s="321"/>
      <c r="V54" s="321"/>
      <c r="W54" s="321"/>
      <c r="X54" s="321"/>
      <c r="Y54" s="321"/>
      <c r="Z54" s="321"/>
      <c r="AA54" s="321"/>
    </row>
    <row r="55" spans="2:27" s="234" customFormat="1" ht="3" customHeight="1">
      <c r="B55" s="226"/>
      <c r="C55" s="265"/>
      <c r="D55" s="266"/>
      <c r="E55" s="266"/>
      <c r="F55" s="266"/>
      <c r="G55" s="266"/>
      <c r="H55" s="266"/>
      <c r="I55" s="266"/>
      <c r="J55" s="266"/>
      <c r="K55" s="266"/>
      <c r="L55" s="266"/>
      <c r="M55" s="266"/>
      <c r="N55" s="266"/>
      <c r="O55" s="266"/>
      <c r="P55" s="266"/>
      <c r="Q55" s="266"/>
      <c r="R55" s="266"/>
      <c r="S55" s="266"/>
      <c r="T55" s="266"/>
      <c r="U55" s="266"/>
      <c r="V55" s="266"/>
      <c r="W55" s="266"/>
      <c r="X55" s="266"/>
      <c r="Y55" s="266"/>
      <c r="Z55" s="266"/>
      <c r="AA55" s="266"/>
    </row>
    <row r="56" spans="1:27" s="234" customFormat="1" ht="27.75" customHeight="1">
      <c r="A56" s="112" t="s">
        <v>60</v>
      </c>
      <c r="B56" s="109" t="s">
        <v>13</v>
      </c>
      <c r="C56" s="341" t="s">
        <v>217</v>
      </c>
      <c r="D56" s="342"/>
      <c r="E56" s="342"/>
      <c r="F56" s="342"/>
      <c r="G56" s="342"/>
      <c r="H56" s="342"/>
      <c r="I56" s="342"/>
      <c r="J56" s="342"/>
      <c r="K56" s="342"/>
      <c r="L56" s="342"/>
      <c r="M56" s="342"/>
      <c r="N56" s="342"/>
      <c r="O56" s="342"/>
      <c r="P56" s="342"/>
      <c r="Q56" s="342"/>
      <c r="R56" s="342"/>
      <c r="S56" s="342"/>
      <c r="T56" s="342"/>
      <c r="U56" s="342"/>
      <c r="V56" s="342"/>
      <c r="W56" s="342"/>
      <c r="X56" s="342"/>
      <c r="Y56" s="342"/>
      <c r="Z56" s="342"/>
      <c r="AA56" s="342"/>
    </row>
    <row r="57" spans="2:27" s="234" customFormat="1" ht="3" customHeight="1">
      <c r="B57" s="226"/>
      <c r="C57" s="265"/>
      <c r="D57" s="266"/>
      <c r="E57" s="266"/>
      <c r="F57" s="266"/>
      <c r="G57" s="266"/>
      <c r="H57" s="266"/>
      <c r="I57" s="266"/>
      <c r="J57" s="266"/>
      <c r="K57" s="266"/>
      <c r="L57" s="266"/>
      <c r="M57" s="266"/>
      <c r="N57" s="266"/>
      <c r="O57" s="266"/>
      <c r="P57" s="266"/>
      <c r="Q57" s="266"/>
      <c r="R57" s="266"/>
      <c r="S57" s="266"/>
      <c r="T57" s="266"/>
      <c r="U57" s="266"/>
      <c r="V57" s="266"/>
      <c r="W57" s="266"/>
      <c r="X57" s="266"/>
      <c r="Y57" s="266"/>
      <c r="Z57" s="266"/>
      <c r="AA57" s="266"/>
    </row>
    <row r="58" spans="1:27" s="102" customFormat="1" ht="15">
      <c r="A58" s="102" t="s">
        <v>215</v>
      </c>
      <c r="B58" s="8" t="s">
        <v>42</v>
      </c>
      <c r="C58" s="345" t="s">
        <v>100</v>
      </c>
      <c r="D58" s="346"/>
      <c r="E58" s="346"/>
      <c r="F58" s="346"/>
      <c r="G58" s="346"/>
      <c r="H58" s="346"/>
      <c r="I58" s="346"/>
      <c r="J58" s="346"/>
      <c r="K58" s="346"/>
      <c r="L58" s="346"/>
      <c r="M58" s="346"/>
      <c r="N58" s="346"/>
      <c r="O58" s="346"/>
      <c r="P58" s="346"/>
      <c r="Q58" s="346"/>
      <c r="R58" s="346"/>
      <c r="S58" s="346"/>
      <c r="T58" s="346"/>
      <c r="U58" s="346"/>
      <c r="V58" s="346"/>
      <c r="W58" s="346"/>
      <c r="X58" s="346"/>
      <c r="Y58" s="346"/>
      <c r="Z58" s="346"/>
      <c r="AA58" s="346"/>
    </row>
    <row r="59" s="275" customFormat="1" ht="15"/>
    <row r="60" spans="1:17" s="103" customFormat="1" ht="15">
      <c r="A60" s="103" t="s">
        <v>61</v>
      </c>
      <c r="B60" s="104" t="s">
        <v>8</v>
      </c>
      <c r="C60" s="105"/>
      <c r="D60" s="105"/>
      <c r="E60" s="105"/>
      <c r="F60" s="105"/>
      <c r="G60" s="105"/>
      <c r="H60" s="105"/>
      <c r="I60" s="105"/>
      <c r="J60" s="105"/>
      <c r="K60" s="105"/>
      <c r="L60" s="105"/>
      <c r="M60" s="105"/>
      <c r="N60" s="105"/>
      <c r="O60" s="105"/>
      <c r="P60" s="105"/>
      <c r="Q60" s="105"/>
    </row>
    <row r="61" s="234" customFormat="1" ht="4.5" customHeight="1">
      <c r="Q61" s="276"/>
    </row>
    <row r="62" spans="1:27" s="102" customFormat="1" ht="15">
      <c r="A62" s="102" t="s">
        <v>62</v>
      </c>
      <c r="B62" s="8" t="s">
        <v>17</v>
      </c>
      <c r="C62" s="325" t="s">
        <v>84</v>
      </c>
      <c r="D62" s="326"/>
      <c r="E62" s="326"/>
      <c r="F62" s="326"/>
      <c r="G62" s="326"/>
      <c r="H62" s="326"/>
      <c r="I62" s="326"/>
      <c r="J62" s="326"/>
      <c r="K62" s="326"/>
      <c r="L62" s="326"/>
      <c r="M62" s="326"/>
      <c r="N62" s="326"/>
      <c r="O62" s="326"/>
      <c r="P62" s="326"/>
      <c r="Q62" s="326"/>
      <c r="R62" s="326"/>
      <c r="S62" s="326"/>
      <c r="T62" s="326"/>
      <c r="U62" s="326"/>
      <c r="V62" s="326"/>
      <c r="W62" s="326"/>
      <c r="X62" s="326"/>
      <c r="Y62" s="326"/>
      <c r="Z62" s="326"/>
      <c r="AA62" s="326"/>
    </row>
    <row r="63" spans="1:27" s="106" customFormat="1" ht="15">
      <c r="A63" s="106" t="s">
        <v>93</v>
      </c>
      <c r="B63" s="77" t="s">
        <v>20</v>
      </c>
      <c r="C63" s="322" t="s">
        <v>208</v>
      </c>
      <c r="D63" s="323"/>
      <c r="E63" s="323"/>
      <c r="F63" s="323"/>
      <c r="G63" s="323"/>
      <c r="H63" s="323"/>
      <c r="I63" s="323"/>
      <c r="J63" s="323"/>
      <c r="K63" s="323"/>
      <c r="L63" s="323"/>
      <c r="M63" s="323"/>
      <c r="N63" s="323"/>
      <c r="O63" s="323"/>
      <c r="P63" s="323"/>
      <c r="Q63" s="323"/>
      <c r="R63" s="323"/>
      <c r="S63" s="323"/>
      <c r="T63" s="323"/>
      <c r="U63" s="323"/>
      <c r="V63" s="323"/>
      <c r="W63" s="323"/>
      <c r="X63" s="323"/>
      <c r="Y63" s="323"/>
      <c r="Z63" s="323"/>
      <c r="AA63" s="323"/>
    </row>
    <row r="64" spans="1:27" ht="15">
      <c r="A64" s="267"/>
      <c r="B64" s="122" t="s">
        <v>24</v>
      </c>
      <c r="C64" s="320" t="s">
        <v>85</v>
      </c>
      <c r="D64" s="321"/>
      <c r="E64" s="321"/>
      <c r="F64" s="321"/>
      <c r="G64" s="321"/>
      <c r="H64" s="321"/>
      <c r="I64" s="321"/>
      <c r="J64" s="321"/>
      <c r="K64" s="321"/>
      <c r="L64" s="321"/>
      <c r="M64" s="321"/>
      <c r="N64" s="321"/>
      <c r="O64" s="321"/>
      <c r="P64" s="321"/>
      <c r="Q64" s="321"/>
      <c r="R64" s="321"/>
      <c r="S64" s="321"/>
      <c r="T64" s="321"/>
      <c r="U64" s="321"/>
      <c r="V64" s="321"/>
      <c r="W64" s="321"/>
      <c r="X64" s="321"/>
      <c r="Y64" s="321"/>
      <c r="Z64" s="321"/>
      <c r="AA64" s="321"/>
    </row>
    <row r="65" spans="1:27" ht="15">
      <c r="A65" s="267"/>
      <c r="B65" s="122" t="s">
        <v>23</v>
      </c>
      <c r="C65" s="320" t="s">
        <v>86</v>
      </c>
      <c r="D65" s="321"/>
      <c r="E65" s="321"/>
      <c r="F65" s="321"/>
      <c r="G65" s="321"/>
      <c r="H65" s="321"/>
      <c r="I65" s="321"/>
      <c r="J65" s="321"/>
      <c r="K65" s="321"/>
      <c r="L65" s="321"/>
      <c r="M65" s="321"/>
      <c r="N65" s="321"/>
      <c r="O65" s="321"/>
      <c r="P65" s="321"/>
      <c r="Q65" s="321"/>
      <c r="R65" s="321"/>
      <c r="S65" s="321"/>
      <c r="T65" s="321"/>
      <c r="U65" s="321"/>
      <c r="V65" s="321"/>
      <c r="W65" s="321"/>
      <c r="X65" s="321"/>
      <c r="Y65" s="321"/>
      <c r="Z65" s="321"/>
      <c r="AA65" s="321"/>
    </row>
    <row r="66" spans="1:27" s="106" customFormat="1" ht="15">
      <c r="A66" s="106" t="s">
        <v>94</v>
      </c>
      <c r="B66" s="77" t="s">
        <v>25</v>
      </c>
      <c r="C66" s="322" t="s">
        <v>209</v>
      </c>
      <c r="D66" s="323"/>
      <c r="E66" s="323"/>
      <c r="F66" s="323"/>
      <c r="G66" s="323"/>
      <c r="H66" s="323"/>
      <c r="I66" s="323"/>
      <c r="J66" s="323"/>
      <c r="K66" s="323"/>
      <c r="L66" s="323"/>
      <c r="M66" s="323"/>
      <c r="N66" s="323"/>
      <c r="O66" s="323"/>
      <c r="P66" s="323"/>
      <c r="Q66" s="323"/>
      <c r="R66" s="323"/>
      <c r="S66" s="323"/>
      <c r="T66" s="323"/>
      <c r="U66" s="323"/>
      <c r="V66" s="323"/>
      <c r="W66" s="323"/>
      <c r="X66" s="323"/>
      <c r="Y66" s="323"/>
      <c r="Z66" s="323"/>
      <c r="AA66" s="323"/>
    </row>
    <row r="67" spans="1:27" ht="15">
      <c r="A67" s="267"/>
      <c r="B67" s="122" t="s">
        <v>24</v>
      </c>
      <c r="C67" s="320" t="s">
        <v>87</v>
      </c>
      <c r="D67" s="321"/>
      <c r="E67" s="321"/>
      <c r="F67" s="321"/>
      <c r="G67" s="321"/>
      <c r="H67" s="321"/>
      <c r="I67" s="321"/>
      <c r="J67" s="321"/>
      <c r="K67" s="321"/>
      <c r="L67" s="321"/>
      <c r="M67" s="321"/>
      <c r="N67" s="321"/>
      <c r="O67" s="321"/>
      <c r="P67" s="321"/>
      <c r="Q67" s="321"/>
      <c r="R67" s="321"/>
      <c r="S67" s="321"/>
      <c r="T67" s="321"/>
      <c r="U67" s="321"/>
      <c r="V67" s="321"/>
      <c r="W67" s="321"/>
      <c r="X67" s="321"/>
      <c r="Y67" s="321"/>
      <c r="Z67" s="321"/>
      <c r="AA67" s="321"/>
    </row>
    <row r="68" spans="1:27" ht="15">
      <c r="A68" s="267"/>
      <c r="B68" s="122" t="s">
        <v>23</v>
      </c>
      <c r="C68" s="320" t="s">
        <v>88</v>
      </c>
      <c r="D68" s="321"/>
      <c r="E68" s="321"/>
      <c r="F68" s="321"/>
      <c r="G68" s="321"/>
      <c r="H68" s="321"/>
      <c r="I68" s="321"/>
      <c r="J68" s="321"/>
      <c r="K68" s="321"/>
      <c r="L68" s="321"/>
      <c r="M68" s="321"/>
      <c r="N68" s="321"/>
      <c r="O68" s="321"/>
      <c r="P68" s="321"/>
      <c r="Q68" s="321"/>
      <c r="R68" s="321"/>
      <c r="S68" s="321"/>
      <c r="T68" s="321"/>
      <c r="U68" s="321"/>
      <c r="V68" s="321"/>
      <c r="W68" s="321"/>
      <c r="X68" s="321"/>
      <c r="Y68" s="321"/>
      <c r="Z68" s="321"/>
      <c r="AA68" s="321"/>
    </row>
    <row r="69" spans="1:27" s="1" customFormat="1" ht="15">
      <c r="A69" s="106" t="s">
        <v>213</v>
      </c>
      <c r="B69" s="77" t="s">
        <v>207</v>
      </c>
      <c r="C69" s="338" t="s">
        <v>210</v>
      </c>
      <c r="D69" s="323"/>
      <c r="E69" s="323"/>
      <c r="F69" s="323"/>
      <c r="G69" s="323"/>
      <c r="H69" s="323"/>
      <c r="I69" s="323"/>
      <c r="J69" s="323"/>
      <c r="K69" s="323"/>
      <c r="L69" s="323"/>
      <c r="M69" s="323"/>
      <c r="N69" s="323"/>
      <c r="O69" s="323"/>
      <c r="P69" s="323"/>
      <c r="Q69" s="323"/>
      <c r="R69" s="323"/>
      <c r="S69" s="323"/>
      <c r="T69" s="323"/>
      <c r="U69" s="323"/>
      <c r="V69" s="323"/>
      <c r="W69" s="323"/>
      <c r="X69" s="323"/>
      <c r="Y69" s="323"/>
      <c r="Z69" s="323"/>
      <c r="AA69" s="323"/>
    </row>
    <row r="70" spans="1:27" s="1" customFormat="1" ht="15">
      <c r="A70" s="267"/>
      <c r="B70" s="122" t="s">
        <v>24</v>
      </c>
      <c r="C70" s="320" t="s">
        <v>211</v>
      </c>
      <c r="D70" s="321"/>
      <c r="E70" s="321"/>
      <c r="F70" s="321"/>
      <c r="G70" s="321"/>
      <c r="H70" s="321"/>
      <c r="I70" s="321"/>
      <c r="J70" s="321"/>
      <c r="K70" s="321"/>
      <c r="L70" s="321"/>
      <c r="M70" s="321"/>
      <c r="N70" s="321"/>
      <c r="O70" s="321"/>
      <c r="P70" s="321"/>
      <c r="Q70" s="321"/>
      <c r="R70" s="321"/>
      <c r="S70" s="321"/>
      <c r="T70" s="321"/>
      <c r="U70" s="321"/>
      <c r="V70" s="321"/>
      <c r="W70" s="321"/>
      <c r="X70" s="321"/>
      <c r="Y70" s="321"/>
      <c r="Z70" s="321"/>
      <c r="AA70" s="321"/>
    </row>
    <row r="71" spans="1:27" s="1" customFormat="1" ht="15">
      <c r="A71" s="267"/>
      <c r="B71" s="122" t="s">
        <v>23</v>
      </c>
      <c r="C71" s="320" t="s">
        <v>212</v>
      </c>
      <c r="D71" s="321"/>
      <c r="E71" s="321"/>
      <c r="F71" s="321"/>
      <c r="G71" s="321"/>
      <c r="H71" s="321"/>
      <c r="I71" s="321"/>
      <c r="J71" s="321"/>
      <c r="K71" s="321"/>
      <c r="L71" s="321"/>
      <c r="M71" s="321"/>
      <c r="N71" s="321"/>
      <c r="O71" s="321"/>
      <c r="P71" s="321"/>
      <c r="Q71" s="321"/>
      <c r="R71" s="321"/>
      <c r="S71" s="321"/>
      <c r="T71" s="321"/>
      <c r="U71" s="321"/>
      <c r="V71" s="321"/>
      <c r="W71" s="321"/>
      <c r="X71" s="321"/>
      <c r="Y71" s="321"/>
      <c r="Z71" s="321"/>
      <c r="AA71" s="321"/>
    </row>
    <row r="72" spans="2:27" s="234" customFormat="1" ht="3" customHeight="1">
      <c r="B72" s="226"/>
      <c r="C72" s="270"/>
      <c r="D72" s="266"/>
      <c r="E72" s="266"/>
      <c r="F72" s="266"/>
      <c r="G72" s="266"/>
      <c r="H72" s="266"/>
      <c r="I72" s="266"/>
      <c r="J72" s="266"/>
      <c r="K72" s="266"/>
      <c r="L72" s="266"/>
      <c r="M72" s="266"/>
      <c r="N72" s="266"/>
      <c r="O72" s="266"/>
      <c r="P72" s="266"/>
      <c r="Q72" s="266"/>
      <c r="R72" s="266"/>
      <c r="S72" s="266"/>
      <c r="T72" s="266"/>
      <c r="U72" s="266"/>
      <c r="V72" s="266"/>
      <c r="W72" s="266"/>
      <c r="X72" s="266"/>
      <c r="Y72" s="266"/>
      <c r="Z72" s="266"/>
      <c r="AA72" s="266"/>
    </row>
    <row r="73" spans="1:27" s="1" customFormat="1" ht="24" customHeight="1">
      <c r="A73" s="112" t="s">
        <v>216</v>
      </c>
      <c r="B73" s="109" t="s">
        <v>13</v>
      </c>
      <c r="C73" s="339" t="s">
        <v>228</v>
      </c>
      <c r="D73" s="340"/>
      <c r="E73" s="340"/>
      <c r="F73" s="340"/>
      <c r="G73" s="340"/>
      <c r="H73" s="340"/>
      <c r="I73" s="340"/>
      <c r="J73" s="340"/>
      <c r="K73" s="340"/>
      <c r="L73" s="340"/>
      <c r="M73" s="340"/>
      <c r="N73" s="340"/>
      <c r="O73" s="340"/>
      <c r="P73" s="340"/>
      <c r="Q73" s="340"/>
      <c r="R73" s="340"/>
      <c r="S73" s="340"/>
      <c r="T73" s="340"/>
      <c r="U73" s="340"/>
      <c r="V73" s="340"/>
      <c r="W73" s="340"/>
      <c r="X73" s="340"/>
      <c r="Y73" s="340"/>
      <c r="Z73" s="340"/>
      <c r="AA73" s="340"/>
    </row>
    <row r="74" s="274" customFormat="1" ht="15"/>
    <row r="75" spans="1:17" s="103" customFormat="1" ht="15">
      <c r="A75" s="103" t="s">
        <v>63</v>
      </c>
      <c r="B75" s="104" t="s">
        <v>9</v>
      </c>
      <c r="C75" s="105"/>
      <c r="D75" s="105"/>
      <c r="E75" s="105"/>
      <c r="F75" s="105"/>
      <c r="G75" s="105"/>
      <c r="H75" s="105"/>
      <c r="I75" s="105"/>
      <c r="J75" s="105"/>
      <c r="K75" s="105"/>
      <c r="L75" s="105"/>
      <c r="M75" s="105"/>
      <c r="N75" s="105"/>
      <c r="O75" s="105"/>
      <c r="P75" s="105"/>
      <c r="Q75" s="105"/>
    </row>
    <row r="76" ht="4.5" customHeight="1">
      <c r="Q76" s="2"/>
    </row>
    <row r="77" spans="1:17" s="102" customFormat="1" ht="15">
      <c r="A77" s="102" t="s">
        <v>64</v>
      </c>
      <c r="B77" s="8" t="s">
        <v>15</v>
      </c>
      <c r="Q77" s="107"/>
    </row>
    <row r="78" spans="1:27" ht="15">
      <c r="A78" s="267"/>
      <c r="B78" s="122" t="s">
        <v>26</v>
      </c>
      <c r="C78" s="320" t="s">
        <v>95</v>
      </c>
      <c r="D78" s="321"/>
      <c r="E78" s="321"/>
      <c r="F78" s="321"/>
      <c r="G78" s="321"/>
      <c r="H78" s="321"/>
      <c r="I78" s="321"/>
      <c r="J78" s="321"/>
      <c r="K78" s="321"/>
      <c r="L78" s="321"/>
      <c r="M78" s="321"/>
      <c r="N78" s="321"/>
      <c r="O78" s="321"/>
      <c r="P78" s="321"/>
      <c r="Q78" s="321"/>
      <c r="R78" s="321"/>
      <c r="S78" s="321"/>
      <c r="T78" s="321"/>
      <c r="U78" s="321"/>
      <c r="V78" s="321"/>
      <c r="W78" s="321"/>
      <c r="X78" s="321"/>
      <c r="Y78" s="321"/>
      <c r="Z78" s="321"/>
      <c r="AA78" s="321"/>
    </row>
    <row r="79" spans="1:27" ht="15">
      <c r="A79" s="267"/>
      <c r="B79" s="122" t="s">
        <v>27</v>
      </c>
      <c r="C79" s="320" t="s">
        <v>96</v>
      </c>
      <c r="D79" s="321"/>
      <c r="E79" s="321"/>
      <c r="F79" s="321"/>
      <c r="G79" s="321"/>
      <c r="H79" s="321"/>
      <c r="I79" s="321"/>
      <c r="J79" s="321"/>
      <c r="K79" s="321"/>
      <c r="L79" s="321"/>
      <c r="M79" s="321"/>
      <c r="N79" s="321"/>
      <c r="O79" s="321"/>
      <c r="P79" s="321"/>
      <c r="Q79" s="321"/>
      <c r="R79" s="321"/>
      <c r="S79" s="321"/>
      <c r="T79" s="321"/>
      <c r="U79" s="321"/>
      <c r="V79" s="321"/>
      <c r="W79" s="321"/>
      <c r="X79" s="321"/>
      <c r="Y79" s="321"/>
      <c r="Z79" s="321"/>
      <c r="AA79" s="321"/>
    </row>
    <row r="80" spans="1:27" ht="15">
      <c r="A80" s="267"/>
      <c r="B80" s="122" t="s">
        <v>28</v>
      </c>
      <c r="C80" s="320" t="s">
        <v>97</v>
      </c>
      <c r="D80" s="321"/>
      <c r="E80" s="321"/>
      <c r="F80" s="321"/>
      <c r="G80" s="321"/>
      <c r="H80" s="321"/>
      <c r="I80" s="321"/>
      <c r="J80" s="321"/>
      <c r="K80" s="321"/>
      <c r="L80" s="321"/>
      <c r="M80" s="321"/>
      <c r="N80" s="321"/>
      <c r="O80" s="321"/>
      <c r="P80" s="321"/>
      <c r="Q80" s="321"/>
      <c r="R80" s="321"/>
      <c r="S80" s="321"/>
      <c r="T80" s="321"/>
      <c r="U80" s="321"/>
      <c r="V80" s="321"/>
      <c r="W80" s="321"/>
      <c r="X80" s="321"/>
      <c r="Y80" s="321"/>
      <c r="Z80" s="321"/>
      <c r="AA80" s="321"/>
    </row>
    <row r="81" spans="1:27" ht="15">
      <c r="A81" s="267"/>
      <c r="B81" s="122" t="s">
        <v>29</v>
      </c>
      <c r="C81" s="277" t="s">
        <v>98</v>
      </c>
      <c r="D81" s="277"/>
      <c r="E81" s="277"/>
      <c r="F81" s="277"/>
      <c r="G81" s="277"/>
      <c r="H81" s="277"/>
      <c r="I81" s="277"/>
      <c r="J81" s="277"/>
      <c r="K81" s="277"/>
      <c r="L81" s="277"/>
      <c r="M81" s="277"/>
      <c r="N81" s="277"/>
      <c r="O81" s="277"/>
      <c r="P81" s="277"/>
      <c r="Q81" s="277"/>
      <c r="R81" s="277"/>
      <c r="S81" s="277"/>
      <c r="T81" s="277"/>
      <c r="U81" s="277"/>
      <c r="V81" s="277"/>
      <c r="W81" s="277"/>
      <c r="X81" s="277"/>
      <c r="Y81" s="277"/>
      <c r="Z81" s="277"/>
      <c r="AA81" s="277"/>
    </row>
    <row r="82" s="274" customFormat="1" ht="15"/>
  </sheetData>
  <sheetProtection password="FF63" sheet="1"/>
  <mergeCells count="43">
    <mergeCell ref="C69:AA69"/>
    <mergeCell ref="C70:AA70"/>
    <mergeCell ref="C73:AA73"/>
    <mergeCell ref="C42:AA42"/>
    <mergeCell ref="C71:AA71"/>
    <mergeCell ref="C56:AA56"/>
    <mergeCell ref="C49:AA49"/>
    <mergeCell ref="C58:AA58"/>
    <mergeCell ref="C64:AA64"/>
    <mergeCell ref="C65:AA65"/>
    <mergeCell ref="C78:AA78"/>
    <mergeCell ref="C79:AA79"/>
    <mergeCell ref="C80:AA80"/>
    <mergeCell ref="C7:AA7"/>
    <mergeCell ref="C8:AA8"/>
    <mergeCell ref="C20:AA20"/>
    <mergeCell ref="C21:AA21"/>
    <mergeCell ref="C23:AA23"/>
    <mergeCell ref="C24:AA24"/>
    <mergeCell ref="C10:Q10"/>
    <mergeCell ref="C12:Q12"/>
    <mergeCell ref="C14:Q14"/>
    <mergeCell ref="C16:Q16"/>
    <mergeCell ref="C33:AA33"/>
    <mergeCell ref="C27:AA27"/>
    <mergeCell ref="C25:AA25"/>
    <mergeCell ref="C29:AA29"/>
    <mergeCell ref="C36:AA36"/>
    <mergeCell ref="C35:AA35"/>
    <mergeCell ref="C54:AA54"/>
    <mergeCell ref="C34:AA34"/>
    <mergeCell ref="C44:AA44"/>
    <mergeCell ref="C38:AA38"/>
    <mergeCell ref="C40:AA40"/>
    <mergeCell ref="C48:AA48"/>
    <mergeCell ref="C51:AA51"/>
    <mergeCell ref="C67:AA67"/>
    <mergeCell ref="C68:AA68"/>
    <mergeCell ref="C66:AA66"/>
    <mergeCell ref="C52:AA52"/>
    <mergeCell ref="C53:AA53"/>
    <mergeCell ref="C62:AA62"/>
    <mergeCell ref="C63:AA63"/>
  </mergeCells>
  <printOptions/>
  <pageMargins left="0.7" right="0.7" top="0.75" bottom="0.75" header="0.3" footer="0.3"/>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A1:O7"/>
  <sheetViews>
    <sheetView view="pageBreakPreview" zoomScale="110" zoomScaleSheetLayoutView="110" zoomScalePageLayoutView="0" workbookViewId="0" topLeftCell="A1">
      <selection activeCell="A7" sqref="A7:O7"/>
    </sheetView>
  </sheetViews>
  <sheetFormatPr defaultColWidth="9.140625" defaultRowHeight="15"/>
  <sheetData>
    <row r="1" spans="1:15" s="1" customFormat="1" ht="15">
      <c r="A1" s="357" t="s">
        <v>227</v>
      </c>
      <c r="B1" s="358"/>
      <c r="C1" s="358"/>
      <c r="D1" s="358"/>
      <c r="E1" s="358"/>
      <c r="F1" s="358"/>
      <c r="G1" s="358"/>
      <c r="H1" s="358"/>
      <c r="I1" s="358"/>
      <c r="J1" s="358"/>
      <c r="K1" s="358"/>
      <c r="L1" s="358"/>
      <c r="M1" s="358"/>
      <c r="N1" s="358"/>
      <c r="O1" s="359"/>
    </row>
    <row r="2" spans="1:15" s="234" customFormat="1" ht="3" customHeight="1">
      <c r="A2" s="294"/>
      <c r="B2" s="276"/>
      <c r="C2" s="276"/>
      <c r="D2" s="276"/>
      <c r="E2" s="276"/>
      <c r="F2" s="276"/>
      <c r="G2" s="276"/>
      <c r="H2" s="276"/>
      <c r="I2" s="276"/>
      <c r="J2" s="276"/>
      <c r="K2" s="276"/>
      <c r="L2" s="276"/>
      <c r="M2" s="276"/>
      <c r="N2" s="276"/>
      <c r="O2" s="295"/>
    </row>
    <row r="3" spans="1:15" s="278" customFormat="1" ht="17.25" customHeight="1">
      <c r="A3" s="356" t="s">
        <v>222</v>
      </c>
      <c r="B3" s="348"/>
      <c r="C3" s="348"/>
      <c r="D3" s="348"/>
      <c r="E3" s="348"/>
      <c r="F3" s="348"/>
      <c r="G3" s="348"/>
      <c r="H3" s="348"/>
      <c r="I3" s="348"/>
      <c r="J3" s="348"/>
      <c r="K3" s="348"/>
      <c r="L3" s="348"/>
      <c r="M3" s="348"/>
      <c r="N3" s="348"/>
      <c r="O3" s="349"/>
    </row>
    <row r="4" spans="1:15" ht="45.75" customHeight="1">
      <c r="A4" s="347" t="s">
        <v>223</v>
      </c>
      <c r="B4" s="348"/>
      <c r="C4" s="348"/>
      <c r="D4" s="348"/>
      <c r="E4" s="348"/>
      <c r="F4" s="348"/>
      <c r="G4" s="348"/>
      <c r="H4" s="348"/>
      <c r="I4" s="348"/>
      <c r="J4" s="348"/>
      <c r="K4" s="348"/>
      <c r="L4" s="348"/>
      <c r="M4" s="348"/>
      <c r="N4" s="348"/>
      <c r="O4" s="349"/>
    </row>
    <row r="5" spans="1:15" ht="34.5" customHeight="1">
      <c r="A5" s="347" t="s">
        <v>224</v>
      </c>
      <c r="B5" s="348"/>
      <c r="C5" s="348"/>
      <c r="D5" s="348"/>
      <c r="E5" s="348"/>
      <c r="F5" s="348"/>
      <c r="G5" s="348"/>
      <c r="H5" s="348"/>
      <c r="I5" s="348"/>
      <c r="J5" s="348"/>
      <c r="K5" s="348"/>
      <c r="L5" s="348"/>
      <c r="M5" s="348"/>
      <c r="N5" s="348"/>
      <c r="O5" s="349"/>
    </row>
    <row r="6" spans="1:15" ht="15">
      <c r="A6" s="350" t="s">
        <v>225</v>
      </c>
      <c r="B6" s="351"/>
      <c r="C6" s="351"/>
      <c r="D6" s="351"/>
      <c r="E6" s="351"/>
      <c r="F6" s="351"/>
      <c r="G6" s="351"/>
      <c r="H6" s="351"/>
      <c r="I6" s="351"/>
      <c r="J6" s="351"/>
      <c r="K6" s="351"/>
      <c r="L6" s="351"/>
      <c r="M6" s="351"/>
      <c r="N6" s="351"/>
      <c r="O6" s="352"/>
    </row>
    <row r="7" spans="1:15" ht="48" customHeight="1" thickBot="1">
      <c r="A7" s="353" t="s">
        <v>226</v>
      </c>
      <c r="B7" s="354"/>
      <c r="C7" s="354"/>
      <c r="D7" s="354"/>
      <c r="E7" s="354"/>
      <c r="F7" s="354"/>
      <c r="G7" s="354"/>
      <c r="H7" s="354"/>
      <c r="I7" s="354"/>
      <c r="J7" s="354"/>
      <c r="K7" s="354"/>
      <c r="L7" s="354"/>
      <c r="M7" s="354"/>
      <c r="N7" s="354"/>
      <c r="O7" s="355"/>
    </row>
  </sheetData>
  <sheetProtection password="FF63" sheet="1"/>
  <mergeCells count="6">
    <mergeCell ref="A4:O4"/>
    <mergeCell ref="A5:O5"/>
    <mergeCell ref="A6:O6"/>
    <mergeCell ref="A7:O7"/>
    <mergeCell ref="A3:O3"/>
    <mergeCell ref="A1:O1"/>
  </mergeCells>
  <printOptions/>
  <pageMargins left="0.7" right="0.7" top="0.75" bottom="0.75" header="0.3" footer="0.3"/>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Malta Communications Authority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DRS FH 2011 - Q1 2005 to Q1 2011</dc:title>
  <dc:subject/>
  <dc:creator>Kevin Caruana</dc:creator>
  <cp:keywords/>
  <dc:description/>
  <cp:lastModifiedBy>Kevin Caruana</cp:lastModifiedBy>
  <cp:lastPrinted>2012-09-18T11:43:57Z</cp:lastPrinted>
  <dcterms:created xsi:type="dcterms:W3CDTF">2009-04-15T09:10:48Z</dcterms:created>
  <dcterms:modified xsi:type="dcterms:W3CDTF">2012-10-22T10:15:46Z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ubFunction">
    <vt:lpwstr>;#MA- Communications Market Review Bi-Annual Reports;#</vt:lpwstr>
  </property>
  <property fmtid="{D5CDD505-2E9C-101B-9397-08002B2CF9AE}" pid="3" name="Year">
    <vt:lpwstr>16</vt:lpwstr>
  </property>
  <property fmtid="{D5CDD505-2E9C-101B-9397-08002B2CF9AE}" pid="4" name="Notes1">
    <vt:lpwstr/>
  </property>
  <property fmtid="{D5CDD505-2E9C-101B-9397-08002B2CF9AE}" pid="5" name="Functions">
    <vt:lpwstr>;#Market Analysis;#</vt:lpwstr>
  </property>
  <property fmtid="{D5CDD505-2E9C-101B-9397-08002B2CF9AE}" pid="6" name="Files">
    <vt:lpwstr>;#MA- Communications Market Review Bi-Annual Reports;#MA – CMR FH 2011;#</vt:lpwstr>
  </property>
  <property fmtid="{D5CDD505-2E9C-101B-9397-08002B2CF9AE}" pid="7" name="Sector">
    <vt:lpwstr>1</vt:lpwstr>
  </property>
  <property fmtid="{D5CDD505-2E9C-101B-9397-08002B2CF9AE}" pid="8" name="Operator">
    <vt:lpwstr/>
  </property>
  <property fmtid="{D5CDD505-2E9C-101B-9397-08002B2CF9AE}" pid="9" name="ContentType">
    <vt:lpwstr>MCA Document</vt:lpwstr>
  </property>
  <property fmtid="{D5CDD505-2E9C-101B-9397-08002B2CF9AE}" pid="10" name="Publish on Website">
    <vt:lpwstr>0</vt:lpwstr>
  </property>
</Properties>
</file>